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F7569A0-C05A-4BDA-872F-C56CB6EFB61C}" xr6:coauthVersionLast="47" xr6:coauthVersionMax="47" xr10:uidLastSave="{00000000-0000-0000-0000-000000000000}"/>
  <bookViews>
    <workbookView xWindow="-120" yWindow="-120" windowWidth="38640" windowHeight="21120" tabRatio="991" activeTab="7" xr2:uid="{00000000-000D-0000-FFFF-FFFF00000000}"/>
  </bookViews>
  <sheets>
    <sheet name="01월 관리비" sheetId="116" r:id="rId1"/>
    <sheet name="02월 관리비" sheetId="136" r:id="rId2"/>
    <sheet name="03월 관리비" sheetId="137" r:id="rId3"/>
    <sheet name="04월 관리비" sheetId="138" r:id="rId4"/>
    <sheet name="05월 관리비" sheetId="139" r:id="rId5"/>
    <sheet name="06월 관리비" sheetId="140" r:id="rId6"/>
    <sheet name="07월 관리비" sheetId="141" r:id="rId7"/>
    <sheet name="08월 관리비" sheetId="142" r:id="rId8"/>
    <sheet name="09월 관리비" sheetId="143" state="hidden" r:id="rId9"/>
    <sheet name="10월 관리비" sheetId="144" state="hidden" r:id="rId10"/>
    <sheet name="11월 관리비" sheetId="145" state="hidden" r:id="rId11"/>
    <sheet name="12월 관리비" sheetId="146" state="hidden" r:id="rId12"/>
    <sheet name="건물 수선비" sheetId="80" state="hidden" r:id="rId13"/>
    <sheet name="기초자료" sheetId="123" state="hidden" r:id="rId14"/>
    <sheet name="관리비 세금계산서" sheetId="124" state="hidden" r:id="rId15"/>
    <sheet name="중간정산" sheetId="147" state="hidden" r:id="rId16"/>
    <sheet name="지출낵역" sheetId="148" state="hidden" r:id="rId17"/>
  </sheets>
  <definedNames>
    <definedName name="_xlnm.Print_Area" localSheetId="0">'01월 관리비'!$A$1:$H$95</definedName>
    <definedName name="_xlnm.Print_Area" localSheetId="1">'02월 관리비'!$A$1:$H$95</definedName>
    <definedName name="_xlnm.Print_Area" localSheetId="2">'03월 관리비'!$A$1:$H$95</definedName>
    <definedName name="_xlnm.Print_Area" localSheetId="3">'04월 관리비'!$A$1:$H$95</definedName>
    <definedName name="_xlnm.Print_Area" localSheetId="4">'05월 관리비'!$A$1:$H$95</definedName>
    <definedName name="_xlnm.Print_Area" localSheetId="5">'06월 관리비'!$A$1:$H$95</definedName>
    <definedName name="_xlnm.Print_Area" localSheetId="6">'07월 관리비'!$A$1:$H$95</definedName>
    <definedName name="_xlnm.Print_Area" localSheetId="7">'08월 관리비'!$A$1:$H$95</definedName>
    <definedName name="_xlnm.Print_Area" localSheetId="8">'09월 관리비'!$A$1:$H$95</definedName>
    <definedName name="_xlnm.Print_Area" localSheetId="9">'10월 관리비'!$A$1:$H$95</definedName>
    <definedName name="_xlnm.Print_Area" localSheetId="10">'11월 관리비'!$A$1:$H$95</definedName>
    <definedName name="_xlnm.Print_Area" localSheetId="11">'12월 관리비'!$A$1:$H$95</definedName>
    <definedName name="_xlnm.Print_Area" localSheetId="12">'건물 수선비'!$A$1:$H$73</definedName>
    <definedName name="_xlnm.Print_Area" localSheetId="14">'관리비 세금계산서'!$A$2:$N$19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93" i="137" l="1"/>
  <c r="N21" i="137"/>
  <c r="D12" i="136"/>
  <c r="H93" i="136"/>
  <c r="H93" i="116"/>
  <c r="H92" i="146" l="1"/>
  <c r="H91" i="146"/>
  <c r="H90" i="146"/>
  <c r="H89" i="146"/>
  <c r="H88" i="146"/>
  <c r="H87" i="146"/>
  <c r="H92" i="145"/>
  <c r="H91" i="145"/>
  <c r="H90" i="145"/>
  <c r="H89" i="145"/>
  <c r="H88" i="145"/>
  <c r="H87" i="145"/>
  <c r="L92" i="146"/>
  <c r="H88" i="144"/>
  <c r="H89" i="144"/>
  <c r="H90" i="144"/>
  <c r="H91" i="144"/>
  <c r="H92" i="144"/>
  <c r="H87" i="144" l="1"/>
  <c r="D11" i="147" l="1"/>
  <c r="H93" i="146" l="1"/>
  <c r="D12" i="146" s="1"/>
  <c r="H6" i="146" s="1"/>
  <c r="G67" i="146" s="1"/>
  <c r="H67" i="146" s="1"/>
  <c r="N21" i="146"/>
  <c r="D11" i="146"/>
  <c r="D10" i="146"/>
  <c r="D9" i="146"/>
  <c r="D8" i="146"/>
  <c r="C75" i="146"/>
  <c r="D75" i="146" s="1"/>
  <c r="D4" i="146"/>
  <c r="D5" i="146" s="1"/>
  <c r="D7" i="146" s="1"/>
  <c r="H5" i="146"/>
  <c r="C73" i="146" s="1"/>
  <c r="D73" i="146" s="1"/>
  <c r="H93" i="145"/>
  <c r="D12" i="145" s="1"/>
  <c r="H6" i="145" s="1"/>
  <c r="G67" i="145" s="1"/>
  <c r="H67" i="145" s="1"/>
  <c r="G27" i="145"/>
  <c r="H27" i="145" s="1"/>
  <c r="N21" i="145"/>
  <c r="D10" i="145"/>
  <c r="D9" i="145"/>
  <c r="D11" i="145" s="1"/>
  <c r="D8" i="145"/>
  <c r="H7" i="145"/>
  <c r="C75" i="145" s="1"/>
  <c r="D75" i="145" s="1"/>
  <c r="D4" i="145"/>
  <c r="D5" i="145" s="1"/>
  <c r="D7" i="145" s="1"/>
  <c r="H5" i="145"/>
  <c r="C73" i="145" s="1"/>
  <c r="D73" i="145" s="1"/>
  <c r="H93" i="144"/>
  <c r="C92" i="144"/>
  <c r="D92" i="144" s="1"/>
  <c r="C68" i="144"/>
  <c r="D68" i="144" s="1"/>
  <c r="G41" i="144"/>
  <c r="H41" i="144" s="1"/>
  <c r="N21" i="144"/>
  <c r="D11" i="144"/>
  <c r="D10" i="144"/>
  <c r="D9" i="144"/>
  <c r="D8" i="144"/>
  <c r="H4" i="144" s="1"/>
  <c r="C64" i="144" s="1"/>
  <c r="D64" i="144" s="1"/>
  <c r="C75" i="144"/>
  <c r="D75" i="144" s="1"/>
  <c r="D4" i="144"/>
  <c r="D5" i="144" s="1"/>
  <c r="H5" i="144"/>
  <c r="C73" i="144" s="1"/>
  <c r="D73" i="144" s="1"/>
  <c r="H93" i="143"/>
  <c r="D12" i="143" s="1"/>
  <c r="H6" i="143" s="1"/>
  <c r="G84" i="143" s="1"/>
  <c r="H84" i="143" s="1"/>
  <c r="C58" i="143"/>
  <c r="D58" i="143" s="1"/>
  <c r="N21" i="143"/>
  <c r="D10" i="143"/>
  <c r="D9" i="143"/>
  <c r="D8" i="143"/>
  <c r="C75" i="143"/>
  <c r="D75" i="143" s="1"/>
  <c r="D4" i="143"/>
  <c r="H5" i="143"/>
  <c r="G25" i="143" s="1"/>
  <c r="H25" i="143" s="1"/>
  <c r="H93" i="142"/>
  <c r="D12" i="142" s="1"/>
  <c r="H6" i="142" s="1"/>
  <c r="G26" i="142" s="1"/>
  <c r="H26" i="142" s="1"/>
  <c r="N21" i="142"/>
  <c r="D10" i="142"/>
  <c r="D9" i="142"/>
  <c r="D8" i="142"/>
  <c r="H4" i="142" s="1"/>
  <c r="C30" i="142" s="1"/>
  <c r="D30" i="142" s="1"/>
  <c r="H7" i="142"/>
  <c r="C92" i="142" s="1"/>
  <c r="D92" i="142" s="1"/>
  <c r="D5" i="142"/>
  <c r="H5" i="142"/>
  <c r="C46" i="142" s="1"/>
  <c r="D46" i="142" s="1"/>
  <c r="H93" i="141"/>
  <c r="D12" i="141" s="1"/>
  <c r="H6" i="141" s="1"/>
  <c r="C91" i="141" s="1"/>
  <c r="D91" i="141" s="1"/>
  <c r="C58" i="141"/>
  <c r="D58" i="141" s="1"/>
  <c r="N21" i="141"/>
  <c r="D10" i="141"/>
  <c r="D9" i="141"/>
  <c r="D8" i="141"/>
  <c r="H4" i="141" s="1"/>
  <c r="C54" i="141" s="1"/>
  <c r="D54" i="141" s="1"/>
  <c r="C85" i="141"/>
  <c r="D85" i="141" s="1"/>
  <c r="D4" i="141"/>
  <c r="D5" i="141" s="1"/>
  <c r="H5" i="141"/>
  <c r="C56" i="141" s="1"/>
  <c r="D56" i="141" s="1"/>
  <c r="H93" i="140"/>
  <c r="G58" i="140"/>
  <c r="H58" i="140" s="1"/>
  <c r="N21" i="140"/>
  <c r="N27" i="140" s="1"/>
  <c r="N29" i="140" s="1"/>
  <c r="D10" i="140"/>
  <c r="D9" i="140"/>
  <c r="D8" i="140"/>
  <c r="C68" i="140"/>
  <c r="D68" i="140" s="1"/>
  <c r="D4" i="140"/>
  <c r="H6" i="140"/>
  <c r="C74" i="140" s="1"/>
  <c r="D74" i="140" s="1"/>
  <c r="H5" i="140"/>
  <c r="C83" i="140" s="1"/>
  <c r="D83" i="140" s="1"/>
  <c r="H93" i="139"/>
  <c r="C68" i="139"/>
  <c r="D68" i="139" s="1"/>
  <c r="G58" i="139"/>
  <c r="H58" i="139" s="1"/>
  <c r="C48" i="139"/>
  <c r="D48" i="139" s="1"/>
  <c r="G41" i="139"/>
  <c r="H41" i="139" s="1"/>
  <c r="C34" i="139"/>
  <c r="D34" i="139" s="1"/>
  <c r="G27" i="139"/>
  <c r="H27" i="139" s="1"/>
  <c r="N21" i="139"/>
  <c r="D10" i="139"/>
  <c r="D9" i="139"/>
  <c r="D8" i="139"/>
  <c r="C75" i="139"/>
  <c r="D75" i="139" s="1"/>
  <c r="D4" i="139"/>
  <c r="D5" i="139" s="1"/>
  <c r="D7" i="139" s="1"/>
  <c r="H6" i="139"/>
  <c r="G67" i="139" s="1"/>
  <c r="H67" i="139" s="1"/>
  <c r="H5" i="139"/>
  <c r="C73" i="139" s="1"/>
  <c r="D73" i="139" s="1"/>
  <c r="H93" i="138"/>
  <c r="D12" i="138" s="1"/>
  <c r="H6" i="138" s="1"/>
  <c r="G67" i="138" s="1"/>
  <c r="H67" i="138" s="1"/>
  <c r="C48" i="138"/>
  <c r="D48" i="138" s="1"/>
  <c r="C34" i="138"/>
  <c r="D34" i="138" s="1"/>
  <c r="N21" i="138"/>
  <c r="D10" i="138"/>
  <c r="D9" i="138"/>
  <c r="D8" i="138"/>
  <c r="D11" i="138" s="1"/>
  <c r="C75" i="138"/>
  <c r="D75" i="138" s="1"/>
  <c r="D4" i="138"/>
  <c r="D5" i="138" s="1"/>
  <c r="D7" i="138" s="1"/>
  <c r="H5" i="138"/>
  <c r="C73" i="138" s="1"/>
  <c r="D73" i="138" s="1"/>
  <c r="D10" i="137"/>
  <c r="D9" i="137"/>
  <c r="D8" i="137"/>
  <c r="C75" i="137"/>
  <c r="D75" i="137" s="1"/>
  <c r="D4" i="137"/>
  <c r="H6" i="137"/>
  <c r="G67" i="137" s="1"/>
  <c r="H67" i="137" s="1"/>
  <c r="H5" i="137"/>
  <c r="C73" i="137" s="1"/>
  <c r="D73" i="137" s="1"/>
  <c r="H6" i="136"/>
  <c r="G67" i="136" s="1"/>
  <c r="H67" i="136" s="1"/>
  <c r="N21" i="136"/>
  <c r="D10" i="136"/>
  <c r="D9" i="136"/>
  <c r="D8" i="136"/>
  <c r="D11" i="136" s="1"/>
  <c r="C75" i="136"/>
  <c r="D75" i="136" s="1"/>
  <c r="D4" i="136"/>
  <c r="D5" i="136" s="1"/>
  <c r="D7" i="136" s="1"/>
  <c r="H5" i="136"/>
  <c r="C73" i="136" s="1"/>
  <c r="D73" i="136" s="1"/>
  <c r="H4" i="136"/>
  <c r="G64" i="136" s="1"/>
  <c r="H64" i="136" s="1"/>
  <c r="G85" i="144" l="1"/>
  <c r="H85" i="144" s="1"/>
  <c r="G27" i="142"/>
  <c r="H27" i="142" s="1"/>
  <c r="G39" i="138"/>
  <c r="H39" i="138" s="1"/>
  <c r="G34" i="142"/>
  <c r="H34" i="142" s="1"/>
  <c r="H6" i="144"/>
  <c r="D11" i="137"/>
  <c r="H4" i="138"/>
  <c r="G64" i="138" s="1"/>
  <c r="H64" i="138" s="1"/>
  <c r="C34" i="136"/>
  <c r="D34" i="136" s="1"/>
  <c r="D11" i="142"/>
  <c r="D11" i="139"/>
  <c r="G41" i="137"/>
  <c r="H41" i="137" s="1"/>
  <c r="C48" i="145"/>
  <c r="D48" i="145" s="1"/>
  <c r="C48" i="137"/>
  <c r="D48" i="137" s="1"/>
  <c r="G58" i="145"/>
  <c r="H58" i="145" s="1"/>
  <c r="C48" i="144"/>
  <c r="D48" i="144" s="1"/>
  <c r="C68" i="145"/>
  <c r="D68" i="145" s="1"/>
  <c r="J23" i="139"/>
  <c r="G85" i="145"/>
  <c r="H85" i="145" s="1"/>
  <c r="G27" i="146"/>
  <c r="H27" i="146" s="1"/>
  <c r="G58" i="137"/>
  <c r="H58" i="137" s="1"/>
  <c r="C68" i="137"/>
  <c r="D68" i="137" s="1"/>
  <c r="G85" i="139"/>
  <c r="H85" i="139" s="1"/>
  <c r="G68" i="141"/>
  <c r="H68" i="141" s="1"/>
  <c r="G54" i="144"/>
  <c r="H54" i="144" s="1"/>
  <c r="H4" i="145"/>
  <c r="C92" i="145"/>
  <c r="D92" i="145" s="1"/>
  <c r="C34" i="146"/>
  <c r="D34" i="146" s="1"/>
  <c r="G85" i="137"/>
  <c r="H85" i="137" s="1"/>
  <c r="H4" i="137"/>
  <c r="G23" i="137" s="1"/>
  <c r="H23" i="137" s="1"/>
  <c r="C92" i="137"/>
  <c r="D92" i="137" s="1"/>
  <c r="G27" i="138"/>
  <c r="H27" i="138" s="1"/>
  <c r="H4" i="139"/>
  <c r="C92" i="139"/>
  <c r="D92" i="139" s="1"/>
  <c r="C75" i="141"/>
  <c r="D75" i="141" s="1"/>
  <c r="C27" i="142"/>
  <c r="D27" i="142" s="1"/>
  <c r="G58" i="144"/>
  <c r="H58" i="144" s="1"/>
  <c r="G41" i="146"/>
  <c r="H41" i="146" s="1"/>
  <c r="C48" i="146"/>
  <c r="D48" i="146" s="1"/>
  <c r="G58" i="146"/>
  <c r="H58" i="146" s="1"/>
  <c r="G27" i="136"/>
  <c r="H27" i="136" s="1"/>
  <c r="G41" i="138"/>
  <c r="H41" i="138" s="1"/>
  <c r="G37" i="142"/>
  <c r="H37" i="142" s="1"/>
  <c r="G68" i="143"/>
  <c r="H68" i="143" s="1"/>
  <c r="G27" i="144"/>
  <c r="H27" i="144" s="1"/>
  <c r="C68" i="146"/>
  <c r="D68" i="146" s="1"/>
  <c r="G85" i="146"/>
  <c r="H85" i="146" s="1"/>
  <c r="G41" i="136"/>
  <c r="H41" i="136" s="1"/>
  <c r="G27" i="137"/>
  <c r="H27" i="137" s="1"/>
  <c r="G85" i="138"/>
  <c r="H85" i="138" s="1"/>
  <c r="C34" i="144"/>
  <c r="D34" i="144" s="1"/>
  <c r="C34" i="145"/>
  <c r="D34" i="145" s="1"/>
  <c r="H4" i="146"/>
  <c r="C44" i="146" s="1"/>
  <c r="D44" i="146" s="1"/>
  <c r="C92" i="146"/>
  <c r="D92" i="146" s="1"/>
  <c r="C48" i="136"/>
  <c r="D48" i="136" s="1"/>
  <c r="C34" i="137"/>
  <c r="D34" i="137" s="1"/>
  <c r="C92" i="138"/>
  <c r="D92" i="138" s="1"/>
  <c r="D11" i="140"/>
  <c r="D11" i="141"/>
  <c r="G41" i="145"/>
  <c r="H41" i="145" s="1"/>
  <c r="G40" i="142"/>
  <c r="H40" i="142" s="1"/>
  <c r="G84" i="142"/>
  <c r="H84" i="142" s="1"/>
  <c r="G25" i="146"/>
  <c r="H25" i="146" s="1"/>
  <c r="G39" i="146"/>
  <c r="H39" i="146" s="1"/>
  <c r="C90" i="146"/>
  <c r="D90" i="146" s="1"/>
  <c r="G25" i="145"/>
  <c r="H25" i="145" s="1"/>
  <c r="G39" i="136"/>
  <c r="H39" i="136" s="1"/>
  <c r="C32" i="136"/>
  <c r="D32" i="136" s="1"/>
  <c r="G37" i="136"/>
  <c r="H37" i="136" s="1"/>
  <c r="C30" i="136"/>
  <c r="D30" i="136" s="1"/>
  <c r="C46" i="136"/>
  <c r="D46" i="136" s="1"/>
  <c r="G23" i="136"/>
  <c r="H23" i="136" s="1"/>
  <c r="G25" i="136"/>
  <c r="H25" i="136" s="1"/>
  <c r="G39" i="137"/>
  <c r="H39" i="137" s="1"/>
  <c r="C32" i="137"/>
  <c r="D32" i="137" s="1"/>
  <c r="C46" i="137"/>
  <c r="D46" i="137" s="1"/>
  <c r="G56" i="137"/>
  <c r="H56" i="137" s="1"/>
  <c r="C90" i="137"/>
  <c r="D90" i="137" s="1"/>
  <c r="C66" i="137"/>
  <c r="D66" i="137" s="1"/>
  <c r="G25" i="137"/>
  <c r="H25" i="137" s="1"/>
  <c r="G83" i="137"/>
  <c r="H83" i="137" s="1"/>
  <c r="G81" i="138"/>
  <c r="H81" i="138" s="1"/>
  <c r="C46" i="138"/>
  <c r="D46" i="138" s="1"/>
  <c r="G83" i="138"/>
  <c r="H83" i="138" s="1"/>
  <c r="G25" i="138"/>
  <c r="H25" i="138" s="1"/>
  <c r="C90" i="138"/>
  <c r="D90" i="138" s="1"/>
  <c r="C30" i="138"/>
  <c r="D30" i="138" s="1"/>
  <c r="C32" i="138"/>
  <c r="D32" i="138" s="1"/>
  <c r="G23" i="138"/>
  <c r="H23" i="138" s="1"/>
  <c r="G37" i="138"/>
  <c r="H37" i="138" s="1"/>
  <c r="G32" i="139"/>
  <c r="H32" i="139" s="1"/>
  <c r="C39" i="139"/>
  <c r="D39" i="139" s="1"/>
  <c r="G39" i="139"/>
  <c r="H39" i="139" s="1"/>
  <c r="C46" i="139"/>
  <c r="D46" i="139" s="1"/>
  <c r="C90" i="139"/>
  <c r="D90" i="139" s="1"/>
  <c r="G56" i="139"/>
  <c r="H56" i="139" s="1"/>
  <c r="C25" i="139"/>
  <c r="D25" i="139" s="1"/>
  <c r="G25" i="139"/>
  <c r="H25" i="139" s="1"/>
  <c r="C66" i="139"/>
  <c r="D66" i="139" s="1"/>
  <c r="C32" i="139"/>
  <c r="D32" i="139" s="1"/>
  <c r="G83" i="139"/>
  <c r="H83" i="139" s="1"/>
  <c r="C66" i="140"/>
  <c r="D66" i="140" s="1"/>
  <c r="G56" i="140"/>
  <c r="H56" i="140" s="1"/>
  <c r="G57" i="140"/>
  <c r="H57" i="140" s="1"/>
  <c r="C26" i="141"/>
  <c r="D26" i="141" s="1"/>
  <c r="G33" i="141"/>
  <c r="H33" i="141" s="1"/>
  <c r="C40" i="141"/>
  <c r="D40" i="141" s="1"/>
  <c r="C47" i="141"/>
  <c r="D47" i="141" s="1"/>
  <c r="C57" i="141"/>
  <c r="D57" i="141" s="1"/>
  <c r="G67" i="141"/>
  <c r="H67" i="141" s="1"/>
  <c r="C46" i="144"/>
  <c r="D46" i="144" s="1"/>
  <c r="C32" i="144"/>
  <c r="D32" i="144" s="1"/>
  <c r="G83" i="144"/>
  <c r="H83" i="144" s="1"/>
  <c r="G25" i="144"/>
  <c r="H25" i="144" s="1"/>
  <c r="C25" i="142"/>
  <c r="D25" i="142" s="1"/>
  <c r="C37" i="142"/>
  <c r="D37" i="142" s="1"/>
  <c r="G25" i="142"/>
  <c r="H25" i="142" s="1"/>
  <c r="G32" i="142"/>
  <c r="H32" i="142" s="1"/>
  <c r="C33" i="142"/>
  <c r="D33" i="142" s="1"/>
  <c r="C57" i="143"/>
  <c r="D57" i="143" s="1"/>
  <c r="G67" i="143"/>
  <c r="H67" i="143" s="1"/>
  <c r="G56" i="144"/>
  <c r="H56" i="144" s="1"/>
  <c r="C90" i="144"/>
  <c r="D90" i="144" s="1"/>
  <c r="G39" i="144"/>
  <c r="H39" i="144" s="1"/>
  <c r="C66" i="144"/>
  <c r="D66" i="144" s="1"/>
  <c r="C66" i="145"/>
  <c r="D66" i="145" s="1"/>
  <c r="G83" i="145"/>
  <c r="H83" i="145" s="1"/>
  <c r="C32" i="145"/>
  <c r="D32" i="145" s="1"/>
  <c r="C90" i="145"/>
  <c r="D90" i="145" s="1"/>
  <c r="G39" i="145"/>
  <c r="H39" i="145" s="1"/>
  <c r="C46" i="145"/>
  <c r="D46" i="145" s="1"/>
  <c r="G56" i="145"/>
  <c r="H56" i="145" s="1"/>
  <c r="C32" i="146"/>
  <c r="D32" i="146" s="1"/>
  <c r="G83" i="146"/>
  <c r="H83" i="146" s="1"/>
  <c r="C46" i="146"/>
  <c r="D46" i="146" s="1"/>
  <c r="G56" i="146"/>
  <c r="H56" i="146" s="1"/>
  <c r="C66" i="146"/>
  <c r="D66" i="146" s="1"/>
  <c r="D5" i="137"/>
  <c r="D7" i="137" s="1"/>
  <c r="D7" i="144"/>
  <c r="D7" i="142"/>
  <c r="H3" i="146"/>
  <c r="C33" i="146"/>
  <c r="D33" i="146" s="1"/>
  <c r="G40" i="146"/>
  <c r="H40" i="146" s="1"/>
  <c r="G57" i="146"/>
  <c r="H57" i="146" s="1"/>
  <c r="C67" i="146"/>
  <c r="D67" i="146" s="1"/>
  <c r="C74" i="146"/>
  <c r="D74" i="146" s="1"/>
  <c r="C25" i="146"/>
  <c r="D25" i="146" s="1"/>
  <c r="C26" i="146"/>
  <c r="D26" i="146" s="1"/>
  <c r="C27" i="146"/>
  <c r="D27" i="146" s="1"/>
  <c r="G32" i="146"/>
  <c r="H32" i="146" s="1"/>
  <c r="G33" i="146"/>
  <c r="H33" i="146" s="1"/>
  <c r="G34" i="146"/>
  <c r="H34" i="146" s="1"/>
  <c r="C39" i="146"/>
  <c r="D39" i="146" s="1"/>
  <c r="C40" i="146"/>
  <c r="D40" i="146" s="1"/>
  <c r="C41" i="146"/>
  <c r="D41" i="146" s="1"/>
  <c r="C47" i="146"/>
  <c r="D47" i="146" s="1"/>
  <c r="C83" i="146"/>
  <c r="D83" i="146" s="1"/>
  <c r="C84" i="146"/>
  <c r="D84" i="146" s="1"/>
  <c r="C85" i="146"/>
  <c r="D85" i="146" s="1"/>
  <c r="C91" i="146"/>
  <c r="D91" i="146" s="1"/>
  <c r="G26" i="146"/>
  <c r="H26" i="146" s="1"/>
  <c r="G84" i="146"/>
  <c r="H84" i="146" s="1"/>
  <c r="C56" i="146"/>
  <c r="D56" i="146" s="1"/>
  <c r="C57" i="146"/>
  <c r="D57" i="146" s="1"/>
  <c r="C58" i="146"/>
  <c r="D58" i="146" s="1"/>
  <c r="G66" i="146"/>
  <c r="H66" i="146" s="1"/>
  <c r="G68" i="146"/>
  <c r="H68" i="146" s="1"/>
  <c r="H3" i="145"/>
  <c r="G64" i="145"/>
  <c r="H64" i="145" s="1"/>
  <c r="C54" i="145"/>
  <c r="D54" i="145" s="1"/>
  <c r="C71" i="145"/>
  <c r="D71" i="145" s="1"/>
  <c r="C64" i="145"/>
  <c r="D64" i="145" s="1"/>
  <c r="G54" i="145"/>
  <c r="H54" i="145" s="1"/>
  <c r="G37" i="145"/>
  <c r="H37" i="145" s="1"/>
  <c r="C88" i="145"/>
  <c r="D88" i="145" s="1"/>
  <c r="C81" i="145"/>
  <c r="D81" i="145" s="1"/>
  <c r="C44" i="145"/>
  <c r="D44" i="145" s="1"/>
  <c r="C37" i="145"/>
  <c r="D37" i="145" s="1"/>
  <c r="G30" i="145"/>
  <c r="H30" i="145" s="1"/>
  <c r="C23" i="145"/>
  <c r="D23" i="145" s="1"/>
  <c r="G81" i="145"/>
  <c r="H81" i="145" s="1"/>
  <c r="C30" i="145"/>
  <c r="D30" i="145" s="1"/>
  <c r="G23" i="145"/>
  <c r="H23" i="145" s="1"/>
  <c r="G26" i="145"/>
  <c r="H26" i="145" s="1"/>
  <c r="C33" i="145"/>
  <c r="D33" i="145" s="1"/>
  <c r="G84" i="145"/>
  <c r="H84" i="145" s="1"/>
  <c r="C67" i="145"/>
  <c r="D67" i="145" s="1"/>
  <c r="C74" i="145"/>
  <c r="D74" i="145" s="1"/>
  <c r="C25" i="145"/>
  <c r="D25" i="145" s="1"/>
  <c r="C26" i="145"/>
  <c r="D26" i="145" s="1"/>
  <c r="C27" i="145"/>
  <c r="D27" i="145" s="1"/>
  <c r="G32" i="145"/>
  <c r="H32" i="145" s="1"/>
  <c r="G33" i="145"/>
  <c r="H33" i="145" s="1"/>
  <c r="G34" i="145"/>
  <c r="H34" i="145" s="1"/>
  <c r="C39" i="145"/>
  <c r="D39" i="145" s="1"/>
  <c r="C40" i="145"/>
  <c r="D40" i="145" s="1"/>
  <c r="C41" i="145"/>
  <c r="D41" i="145" s="1"/>
  <c r="C47" i="145"/>
  <c r="D47" i="145" s="1"/>
  <c r="C83" i="145"/>
  <c r="D83" i="145" s="1"/>
  <c r="C84" i="145"/>
  <c r="D84" i="145" s="1"/>
  <c r="C85" i="145"/>
  <c r="D85" i="145" s="1"/>
  <c r="C91" i="145"/>
  <c r="D91" i="145" s="1"/>
  <c r="G40" i="145"/>
  <c r="H40" i="145" s="1"/>
  <c r="G57" i="145"/>
  <c r="H57" i="145" s="1"/>
  <c r="C56" i="145"/>
  <c r="D56" i="145" s="1"/>
  <c r="C57" i="145"/>
  <c r="D57" i="145" s="1"/>
  <c r="C58" i="145"/>
  <c r="D58" i="145" s="1"/>
  <c r="G66" i="145"/>
  <c r="H66" i="145" s="1"/>
  <c r="G68" i="145"/>
  <c r="H68" i="145" s="1"/>
  <c r="C73" i="141"/>
  <c r="D73" i="141" s="1"/>
  <c r="H4" i="140"/>
  <c r="C92" i="140"/>
  <c r="D92" i="140" s="1"/>
  <c r="G85" i="140"/>
  <c r="H85" i="140" s="1"/>
  <c r="C75" i="140"/>
  <c r="D75" i="140" s="1"/>
  <c r="G68" i="140"/>
  <c r="H68" i="140" s="1"/>
  <c r="C25" i="140"/>
  <c r="D25" i="140" s="1"/>
  <c r="C26" i="140"/>
  <c r="D26" i="140" s="1"/>
  <c r="C27" i="140"/>
  <c r="D27" i="140" s="1"/>
  <c r="G32" i="140"/>
  <c r="H32" i="140" s="1"/>
  <c r="G33" i="140"/>
  <c r="H33" i="140" s="1"/>
  <c r="G34" i="140"/>
  <c r="H34" i="140" s="1"/>
  <c r="C39" i="140"/>
  <c r="D39" i="140" s="1"/>
  <c r="C40" i="140"/>
  <c r="D40" i="140" s="1"/>
  <c r="C41" i="140"/>
  <c r="D41" i="140" s="1"/>
  <c r="C47" i="140"/>
  <c r="D47" i="140" s="1"/>
  <c r="C85" i="140"/>
  <c r="D85" i="140" s="1"/>
  <c r="G66" i="141"/>
  <c r="H66" i="141" s="1"/>
  <c r="C90" i="140"/>
  <c r="D90" i="140" s="1"/>
  <c r="G83" i="140"/>
  <c r="H83" i="140" s="1"/>
  <c r="C73" i="140"/>
  <c r="D73" i="140" s="1"/>
  <c r="G66" i="140"/>
  <c r="H66" i="140" s="1"/>
  <c r="D5" i="140"/>
  <c r="D7" i="140" s="1"/>
  <c r="C56" i="140"/>
  <c r="D56" i="140" s="1"/>
  <c r="C57" i="140"/>
  <c r="D57" i="140" s="1"/>
  <c r="C58" i="140"/>
  <c r="D58" i="140" s="1"/>
  <c r="C67" i="140"/>
  <c r="D67" i="140" s="1"/>
  <c r="D7" i="141"/>
  <c r="C83" i="141"/>
  <c r="D83" i="141" s="1"/>
  <c r="C39" i="141"/>
  <c r="D39" i="141" s="1"/>
  <c r="G32" i="141"/>
  <c r="H32" i="141" s="1"/>
  <c r="C25" i="141"/>
  <c r="D25" i="141" s="1"/>
  <c r="C66" i="141"/>
  <c r="D66" i="141" s="1"/>
  <c r="G56" i="141"/>
  <c r="H56" i="141" s="1"/>
  <c r="C90" i="141"/>
  <c r="D90" i="141" s="1"/>
  <c r="G83" i="141"/>
  <c r="H83" i="141" s="1"/>
  <c r="C46" i="141"/>
  <c r="G39" i="141"/>
  <c r="H39" i="141" s="1"/>
  <c r="C32" i="141"/>
  <c r="D32" i="141" s="1"/>
  <c r="G25" i="141"/>
  <c r="H25" i="141" s="1"/>
  <c r="G84" i="140"/>
  <c r="H84" i="140" s="1"/>
  <c r="G67" i="140"/>
  <c r="H67" i="140" s="1"/>
  <c r="G25" i="140"/>
  <c r="H25" i="140" s="1"/>
  <c r="G26" i="140"/>
  <c r="H26" i="140" s="1"/>
  <c r="G27" i="140"/>
  <c r="H27" i="140" s="1"/>
  <c r="C32" i="140"/>
  <c r="D32" i="140" s="1"/>
  <c r="C33" i="140"/>
  <c r="D33" i="140" s="1"/>
  <c r="C34" i="140"/>
  <c r="D34" i="140" s="1"/>
  <c r="G39" i="140"/>
  <c r="H39" i="140" s="1"/>
  <c r="G40" i="140"/>
  <c r="H40" i="140" s="1"/>
  <c r="G41" i="140"/>
  <c r="H41" i="140" s="1"/>
  <c r="C46" i="140"/>
  <c r="D46" i="140" s="1"/>
  <c r="C48" i="140"/>
  <c r="D48" i="140" s="1"/>
  <c r="C84" i="140"/>
  <c r="D84" i="140" s="1"/>
  <c r="C91" i="140"/>
  <c r="D91" i="140" s="1"/>
  <c r="C88" i="141"/>
  <c r="D88" i="141" s="1"/>
  <c r="C81" i="141"/>
  <c r="D81" i="141" s="1"/>
  <c r="C44" i="141"/>
  <c r="D44" i="141" s="1"/>
  <c r="C37" i="141"/>
  <c r="D37" i="141" s="1"/>
  <c r="G30" i="141"/>
  <c r="H30" i="141" s="1"/>
  <c r="C23" i="141"/>
  <c r="D23" i="141" s="1"/>
  <c r="C71" i="141"/>
  <c r="D71" i="141" s="1"/>
  <c r="C64" i="141"/>
  <c r="D64" i="141" s="1"/>
  <c r="G54" i="141"/>
  <c r="H54" i="141" s="1"/>
  <c r="G81" i="141"/>
  <c r="H81" i="141" s="1"/>
  <c r="G37" i="141"/>
  <c r="H37" i="141" s="1"/>
  <c r="C30" i="141"/>
  <c r="D30" i="141" s="1"/>
  <c r="G23" i="141"/>
  <c r="H23" i="141" s="1"/>
  <c r="G64" i="141"/>
  <c r="H64" i="141" s="1"/>
  <c r="G26" i="141"/>
  <c r="H26" i="141" s="1"/>
  <c r="G27" i="141"/>
  <c r="H27" i="141" s="1"/>
  <c r="C33" i="141"/>
  <c r="D33" i="141" s="1"/>
  <c r="C34" i="141"/>
  <c r="D34" i="141" s="1"/>
  <c r="G40" i="141"/>
  <c r="H40" i="141" s="1"/>
  <c r="G41" i="141"/>
  <c r="H41" i="141" s="1"/>
  <c r="C48" i="141"/>
  <c r="D48" i="141" s="1"/>
  <c r="G84" i="141"/>
  <c r="H84" i="141" s="1"/>
  <c r="G85" i="141"/>
  <c r="H85" i="141" s="1"/>
  <c r="C92" i="141"/>
  <c r="D92" i="141" s="1"/>
  <c r="G64" i="142"/>
  <c r="H64" i="142" s="1"/>
  <c r="C54" i="142"/>
  <c r="D54" i="142" s="1"/>
  <c r="C88" i="142"/>
  <c r="D88" i="142" s="1"/>
  <c r="C81" i="142"/>
  <c r="D81" i="142" s="1"/>
  <c r="C44" i="142"/>
  <c r="D44" i="142" s="1"/>
  <c r="C71" i="142"/>
  <c r="D71" i="142" s="1"/>
  <c r="C64" i="142"/>
  <c r="D64" i="142" s="1"/>
  <c r="G54" i="142"/>
  <c r="H54" i="142" s="1"/>
  <c r="C75" i="142"/>
  <c r="D75" i="142" s="1"/>
  <c r="G68" i="142"/>
  <c r="H68" i="142" s="1"/>
  <c r="C58" i="142"/>
  <c r="D58" i="142" s="1"/>
  <c r="C85" i="142"/>
  <c r="D85" i="142" s="1"/>
  <c r="C68" i="142"/>
  <c r="D68" i="142" s="1"/>
  <c r="G58" i="142"/>
  <c r="H58" i="142" s="1"/>
  <c r="C23" i="142"/>
  <c r="D23" i="142" s="1"/>
  <c r="C26" i="142"/>
  <c r="D26" i="142" s="1"/>
  <c r="G30" i="142"/>
  <c r="H30" i="142" s="1"/>
  <c r="G33" i="142"/>
  <c r="H33" i="142" s="1"/>
  <c r="C39" i="142"/>
  <c r="D39" i="142" s="1"/>
  <c r="C41" i="142"/>
  <c r="D41" i="142" s="1"/>
  <c r="G85" i="142"/>
  <c r="H85" i="142" s="1"/>
  <c r="D5" i="143"/>
  <c r="D7" i="143" s="1"/>
  <c r="G57" i="141"/>
  <c r="H57" i="141" s="1"/>
  <c r="G58" i="141"/>
  <c r="H58" i="141" s="1"/>
  <c r="C67" i="141"/>
  <c r="D67" i="141" s="1"/>
  <c r="C68" i="141"/>
  <c r="D68" i="141" s="1"/>
  <c r="C74" i="141"/>
  <c r="D74" i="141" s="1"/>
  <c r="C73" i="142"/>
  <c r="D73" i="142" s="1"/>
  <c r="G66" i="142"/>
  <c r="H66" i="142" s="1"/>
  <c r="C56" i="142"/>
  <c r="D56" i="142" s="1"/>
  <c r="C83" i="142"/>
  <c r="D83" i="142" s="1"/>
  <c r="C66" i="142"/>
  <c r="D66" i="142" s="1"/>
  <c r="G56" i="142"/>
  <c r="H56" i="142" s="1"/>
  <c r="G23" i="142"/>
  <c r="H23" i="142" s="1"/>
  <c r="C32" i="142"/>
  <c r="D32" i="142" s="1"/>
  <c r="C34" i="142"/>
  <c r="D34" i="142" s="1"/>
  <c r="G39" i="142"/>
  <c r="H39" i="142" s="1"/>
  <c r="G41" i="142"/>
  <c r="H41" i="142" s="1"/>
  <c r="C48" i="142"/>
  <c r="D48" i="142" s="1"/>
  <c r="G81" i="142"/>
  <c r="H81" i="142" s="1"/>
  <c r="C27" i="141"/>
  <c r="D27" i="141" s="1"/>
  <c r="G34" i="141"/>
  <c r="H34" i="141" s="1"/>
  <c r="C41" i="141"/>
  <c r="D41" i="141" s="1"/>
  <c r="C84" i="141"/>
  <c r="D84" i="141" s="1"/>
  <c r="G67" i="142"/>
  <c r="H67" i="142" s="1"/>
  <c r="C57" i="142"/>
  <c r="D57" i="142" s="1"/>
  <c r="C91" i="142"/>
  <c r="D91" i="142" s="1"/>
  <c r="C84" i="142"/>
  <c r="D84" i="142" s="1"/>
  <c r="C47" i="142"/>
  <c r="D47" i="142" s="1"/>
  <c r="C74" i="142"/>
  <c r="D74" i="142" s="1"/>
  <c r="C67" i="142"/>
  <c r="D67" i="142" s="1"/>
  <c r="G57" i="142"/>
  <c r="H57" i="142" s="1"/>
  <c r="C40" i="142"/>
  <c r="D40" i="142" s="1"/>
  <c r="G83" i="142"/>
  <c r="H83" i="142" s="1"/>
  <c r="C90" i="142"/>
  <c r="D90" i="142" s="1"/>
  <c r="D11" i="143"/>
  <c r="H4" i="143"/>
  <c r="C85" i="143"/>
  <c r="D85" i="143" s="1"/>
  <c r="C41" i="143"/>
  <c r="D41" i="143" s="1"/>
  <c r="G34" i="143"/>
  <c r="H34" i="143" s="1"/>
  <c r="C27" i="143"/>
  <c r="D27" i="143" s="1"/>
  <c r="C68" i="143"/>
  <c r="D68" i="143" s="1"/>
  <c r="G58" i="143"/>
  <c r="H58" i="143" s="1"/>
  <c r="G27" i="143"/>
  <c r="H27" i="143" s="1"/>
  <c r="C33" i="143"/>
  <c r="D33" i="143" s="1"/>
  <c r="G40" i="143"/>
  <c r="H40" i="143" s="1"/>
  <c r="C48" i="143"/>
  <c r="D48" i="143" s="1"/>
  <c r="C92" i="143"/>
  <c r="D92" i="143" s="1"/>
  <c r="G64" i="144"/>
  <c r="H64" i="144" s="1"/>
  <c r="C54" i="144"/>
  <c r="D54" i="144" s="1"/>
  <c r="C88" i="144"/>
  <c r="D88" i="144" s="1"/>
  <c r="C81" i="144"/>
  <c r="D81" i="144" s="1"/>
  <c r="C44" i="144"/>
  <c r="D44" i="144" s="1"/>
  <c r="C37" i="144"/>
  <c r="D37" i="144" s="1"/>
  <c r="G30" i="144"/>
  <c r="H30" i="144" s="1"/>
  <c r="C23" i="144"/>
  <c r="D23" i="144" s="1"/>
  <c r="C30" i="144"/>
  <c r="D30" i="144" s="1"/>
  <c r="G37" i="144"/>
  <c r="H37" i="144" s="1"/>
  <c r="G81" i="144"/>
  <c r="H81" i="144" s="1"/>
  <c r="C83" i="143"/>
  <c r="D83" i="143" s="1"/>
  <c r="C39" i="143"/>
  <c r="D39" i="143" s="1"/>
  <c r="G32" i="143"/>
  <c r="H32" i="143" s="1"/>
  <c r="C25" i="143"/>
  <c r="D25" i="143" s="1"/>
  <c r="C66" i="143"/>
  <c r="D66" i="143" s="1"/>
  <c r="G56" i="143"/>
  <c r="H56" i="143" s="1"/>
  <c r="C56" i="143"/>
  <c r="D56" i="143" s="1"/>
  <c r="G66" i="143"/>
  <c r="H66" i="143" s="1"/>
  <c r="C73" i="143"/>
  <c r="D73" i="143" s="1"/>
  <c r="C71" i="144"/>
  <c r="D71" i="144" s="1"/>
  <c r="C91" i="143"/>
  <c r="D91" i="143" s="1"/>
  <c r="C84" i="143"/>
  <c r="D84" i="143" s="1"/>
  <c r="C47" i="143"/>
  <c r="D47" i="143" s="1"/>
  <c r="C40" i="143"/>
  <c r="D40" i="143" s="1"/>
  <c r="G33" i="143"/>
  <c r="H33" i="143" s="1"/>
  <c r="C26" i="143"/>
  <c r="D26" i="143" s="1"/>
  <c r="C74" i="143"/>
  <c r="D74" i="143" s="1"/>
  <c r="C67" i="143"/>
  <c r="D67" i="143" s="1"/>
  <c r="G57" i="143"/>
  <c r="H57" i="143" s="1"/>
  <c r="G26" i="143"/>
  <c r="H26" i="143" s="1"/>
  <c r="C32" i="143"/>
  <c r="D32" i="143" s="1"/>
  <c r="C34" i="143"/>
  <c r="D34" i="143" s="1"/>
  <c r="G39" i="143"/>
  <c r="H39" i="143" s="1"/>
  <c r="G41" i="143"/>
  <c r="H41" i="143" s="1"/>
  <c r="C46" i="143"/>
  <c r="D46" i="143" s="1"/>
  <c r="G83" i="143"/>
  <c r="H83" i="143" s="1"/>
  <c r="G85" i="143"/>
  <c r="H85" i="143" s="1"/>
  <c r="C90" i="143"/>
  <c r="D90" i="143" s="1"/>
  <c r="G23" i="144"/>
  <c r="H23" i="144" s="1"/>
  <c r="C25" i="144"/>
  <c r="D25" i="144" s="1"/>
  <c r="C27" i="144"/>
  <c r="D27" i="144" s="1"/>
  <c r="G32" i="144"/>
  <c r="H32" i="144" s="1"/>
  <c r="G34" i="144"/>
  <c r="H34" i="144" s="1"/>
  <c r="C39" i="144"/>
  <c r="D39" i="144" s="1"/>
  <c r="C41" i="144"/>
  <c r="D41" i="144" s="1"/>
  <c r="C83" i="144"/>
  <c r="D83" i="144" s="1"/>
  <c r="C85" i="144"/>
  <c r="D85" i="144" s="1"/>
  <c r="C56" i="144"/>
  <c r="D56" i="144" s="1"/>
  <c r="C58" i="144"/>
  <c r="D58" i="144" s="1"/>
  <c r="G66" i="144"/>
  <c r="H66" i="144" s="1"/>
  <c r="G68" i="144"/>
  <c r="H68" i="144" s="1"/>
  <c r="H3" i="139"/>
  <c r="G64" i="139"/>
  <c r="H64" i="139" s="1"/>
  <c r="C54" i="139"/>
  <c r="D54" i="139" s="1"/>
  <c r="G54" i="139"/>
  <c r="H54" i="139" s="1"/>
  <c r="G37" i="139"/>
  <c r="H37" i="139" s="1"/>
  <c r="G23" i="139"/>
  <c r="H23" i="139" s="1"/>
  <c r="C88" i="139"/>
  <c r="D88" i="139" s="1"/>
  <c r="C81" i="139"/>
  <c r="D81" i="139" s="1"/>
  <c r="C44" i="139"/>
  <c r="D44" i="139" s="1"/>
  <c r="C37" i="139"/>
  <c r="D37" i="139" s="1"/>
  <c r="G30" i="139"/>
  <c r="H30" i="139" s="1"/>
  <c r="C23" i="139"/>
  <c r="D23" i="139" s="1"/>
  <c r="C71" i="139"/>
  <c r="D71" i="139" s="1"/>
  <c r="C64" i="139"/>
  <c r="D64" i="139" s="1"/>
  <c r="G81" i="139"/>
  <c r="H81" i="139" s="1"/>
  <c r="C30" i="139"/>
  <c r="D30" i="139" s="1"/>
  <c r="C33" i="139"/>
  <c r="D33" i="139" s="1"/>
  <c r="G40" i="139"/>
  <c r="H40" i="139" s="1"/>
  <c r="G57" i="139"/>
  <c r="H57" i="139" s="1"/>
  <c r="C67" i="139"/>
  <c r="D67" i="139" s="1"/>
  <c r="C26" i="139"/>
  <c r="D26" i="139" s="1"/>
  <c r="C27" i="139"/>
  <c r="D27" i="139" s="1"/>
  <c r="G33" i="139"/>
  <c r="H33" i="139" s="1"/>
  <c r="G34" i="139"/>
  <c r="H34" i="139" s="1"/>
  <c r="C40" i="139"/>
  <c r="D40" i="139" s="1"/>
  <c r="C41" i="139"/>
  <c r="D41" i="139" s="1"/>
  <c r="C47" i="139"/>
  <c r="D47" i="139" s="1"/>
  <c r="C83" i="139"/>
  <c r="D83" i="139" s="1"/>
  <c r="C84" i="139"/>
  <c r="D84" i="139" s="1"/>
  <c r="C85" i="139"/>
  <c r="D85" i="139" s="1"/>
  <c r="C91" i="139"/>
  <c r="D91" i="139" s="1"/>
  <c r="G26" i="139"/>
  <c r="H26" i="139" s="1"/>
  <c r="G84" i="139"/>
  <c r="H84" i="139" s="1"/>
  <c r="C74" i="139"/>
  <c r="D74" i="139" s="1"/>
  <c r="C56" i="139"/>
  <c r="D56" i="139" s="1"/>
  <c r="C57" i="139"/>
  <c r="D57" i="139" s="1"/>
  <c r="C58" i="139"/>
  <c r="D58" i="139" s="1"/>
  <c r="G66" i="139"/>
  <c r="H66" i="139" s="1"/>
  <c r="G68" i="139"/>
  <c r="H68" i="139" s="1"/>
  <c r="H3" i="138"/>
  <c r="C33" i="138"/>
  <c r="D33" i="138" s="1"/>
  <c r="G40" i="138"/>
  <c r="H40" i="138" s="1"/>
  <c r="G84" i="138"/>
  <c r="H84" i="138" s="1"/>
  <c r="G54" i="138"/>
  <c r="H54" i="138" s="1"/>
  <c r="G56" i="138"/>
  <c r="H56" i="138" s="1"/>
  <c r="G57" i="138"/>
  <c r="H57" i="138" s="1"/>
  <c r="G58" i="138"/>
  <c r="H58" i="138" s="1"/>
  <c r="C64" i="138"/>
  <c r="D64" i="138" s="1"/>
  <c r="C66" i="138"/>
  <c r="D66" i="138" s="1"/>
  <c r="C67" i="138"/>
  <c r="D67" i="138" s="1"/>
  <c r="C68" i="138"/>
  <c r="D68" i="138" s="1"/>
  <c r="C71" i="138"/>
  <c r="D71" i="138" s="1"/>
  <c r="C74" i="138"/>
  <c r="D74" i="138" s="1"/>
  <c r="G26" i="138"/>
  <c r="H26" i="138" s="1"/>
  <c r="C23" i="138"/>
  <c r="D23" i="138" s="1"/>
  <c r="C25" i="138"/>
  <c r="D25" i="138" s="1"/>
  <c r="C26" i="138"/>
  <c r="D26" i="138" s="1"/>
  <c r="C27" i="138"/>
  <c r="D27" i="138" s="1"/>
  <c r="G30" i="138"/>
  <c r="H30" i="138" s="1"/>
  <c r="G32" i="138"/>
  <c r="H32" i="138" s="1"/>
  <c r="G33" i="138"/>
  <c r="H33" i="138" s="1"/>
  <c r="G34" i="138"/>
  <c r="H34" i="138" s="1"/>
  <c r="C37" i="138"/>
  <c r="D37" i="138" s="1"/>
  <c r="C39" i="138"/>
  <c r="D39" i="138" s="1"/>
  <c r="C40" i="138"/>
  <c r="D40" i="138" s="1"/>
  <c r="C41" i="138"/>
  <c r="D41" i="138" s="1"/>
  <c r="C44" i="138"/>
  <c r="D44" i="138" s="1"/>
  <c r="C47" i="138"/>
  <c r="D47" i="138" s="1"/>
  <c r="C81" i="138"/>
  <c r="D81" i="138" s="1"/>
  <c r="C83" i="138"/>
  <c r="D83" i="138" s="1"/>
  <c r="C84" i="138"/>
  <c r="D84" i="138" s="1"/>
  <c r="C85" i="138"/>
  <c r="D85" i="138" s="1"/>
  <c r="C88" i="138"/>
  <c r="D88" i="138" s="1"/>
  <c r="C91" i="138"/>
  <c r="D91" i="138" s="1"/>
  <c r="C54" i="138"/>
  <c r="D54" i="138" s="1"/>
  <c r="C56" i="138"/>
  <c r="D56" i="138" s="1"/>
  <c r="C57" i="138"/>
  <c r="D57" i="138" s="1"/>
  <c r="C58" i="138"/>
  <c r="D58" i="138" s="1"/>
  <c r="G66" i="138"/>
  <c r="H66" i="138" s="1"/>
  <c r="G68" i="138"/>
  <c r="H68" i="138" s="1"/>
  <c r="C64" i="137"/>
  <c r="D64" i="137" s="1"/>
  <c r="G81" i="137"/>
  <c r="H81" i="137" s="1"/>
  <c r="C30" i="137"/>
  <c r="D30" i="137" s="1"/>
  <c r="C33" i="137"/>
  <c r="D33" i="137" s="1"/>
  <c r="G57" i="137"/>
  <c r="H57" i="137" s="1"/>
  <c r="C74" i="137"/>
  <c r="D74" i="137" s="1"/>
  <c r="C25" i="137"/>
  <c r="D25" i="137" s="1"/>
  <c r="C26" i="137"/>
  <c r="D26" i="137" s="1"/>
  <c r="C27" i="137"/>
  <c r="D27" i="137" s="1"/>
  <c r="G32" i="137"/>
  <c r="G33" i="137"/>
  <c r="H33" i="137" s="1"/>
  <c r="G34" i="137"/>
  <c r="H34" i="137" s="1"/>
  <c r="C39" i="137"/>
  <c r="D39" i="137" s="1"/>
  <c r="C40" i="137"/>
  <c r="D40" i="137" s="1"/>
  <c r="C41" i="137"/>
  <c r="D41" i="137" s="1"/>
  <c r="C47" i="137"/>
  <c r="D47" i="137" s="1"/>
  <c r="C83" i="137"/>
  <c r="D83" i="137" s="1"/>
  <c r="C84" i="137"/>
  <c r="D84" i="137" s="1"/>
  <c r="C85" i="137"/>
  <c r="D85" i="137" s="1"/>
  <c r="C91" i="137"/>
  <c r="D91" i="137" s="1"/>
  <c r="G26" i="137"/>
  <c r="H26" i="137" s="1"/>
  <c r="G40" i="137"/>
  <c r="H40" i="137" s="1"/>
  <c r="G84" i="137"/>
  <c r="H84" i="137" s="1"/>
  <c r="C67" i="137"/>
  <c r="D67" i="137" s="1"/>
  <c r="C56" i="137"/>
  <c r="D56" i="137" s="1"/>
  <c r="C57" i="137"/>
  <c r="D57" i="137" s="1"/>
  <c r="C58" i="137"/>
  <c r="D58" i="137" s="1"/>
  <c r="G66" i="137"/>
  <c r="H66" i="137" s="1"/>
  <c r="G68" i="137"/>
  <c r="H68" i="137" s="1"/>
  <c r="H3" i="136"/>
  <c r="G26" i="136"/>
  <c r="H26" i="136" s="1"/>
  <c r="C33" i="136"/>
  <c r="D33" i="136" s="1"/>
  <c r="G40" i="136"/>
  <c r="H40" i="136" s="1"/>
  <c r="G81" i="136"/>
  <c r="H81" i="136" s="1"/>
  <c r="G83" i="136"/>
  <c r="H83" i="136" s="1"/>
  <c r="G84" i="136"/>
  <c r="H84" i="136" s="1"/>
  <c r="G85" i="136"/>
  <c r="H85" i="136" s="1"/>
  <c r="C90" i="136"/>
  <c r="D90" i="136" s="1"/>
  <c r="C92" i="136"/>
  <c r="D92" i="136" s="1"/>
  <c r="G54" i="136"/>
  <c r="H54" i="136" s="1"/>
  <c r="G56" i="136"/>
  <c r="H56" i="136" s="1"/>
  <c r="G57" i="136"/>
  <c r="H57" i="136" s="1"/>
  <c r="G58" i="136"/>
  <c r="H58" i="136" s="1"/>
  <c r="C64" i="136"/>
  <c r="D64" i="136" s="1"/>
  <c r="C66" i="136"/>
  <c r="D66" i="136" s="1"/>
  <c r="C67" i="136"/>
  <c r="D67" i="136" s="1"/>
  <c r="C68" i="136"/>
  <c r="D68" i="136" s="1"/>
  <c r="C71" i="136"/>
  <c r="D71" i="136" s="1"/>
  <c r="D17" i="124" s="1"/>
  <c r="C74" i="136"/>
  <c r="D74" i="136" s="1"/>
  <c r="C23" i="136"/>
  <c r="D23" i="136" s="1"/>
  <c r="C25" i="136"/>
  <c r="D25" i="136" s="1"/>
  <c r="C26" i="136"/>
  <c r="D26" i="136" s="1"/>
  <c r="C27" i="136"/>
  <c r="D27" i="136" s="1"/>
  <c r="G30" i="136"/>
  <c r="H30" i="136" s="1"/>
  <c r="G32" i="136"/>
  <c r="H32" i="136" s="1"/>
  <c r="G33" i="136"/>
  <c r="H33" i="136" s="1"/>
  <c r="G34" i="136"/>
  <c r="H34" i="136" s="1"/>
  <c r="C37" i="136"/>
  <c r="D37" i="136" s="1"/>
  <c r="C39" i="136"/>
  <c r="D39" i="136" s="1"/>
  <c r="C40" i="136"/>
  <c r="D40" i="136" s="1"/>
  <c r="C41" i="136"/>
  <c r="D41" i="136" s="1"/>
  <c r="C44" i="136"/>
  <c r="D44" i="136" s="1"/>
  <c r="C47" i="136"/>
  <c r="D47" i="136" s="1"/>
  <c r="C81" i="136"/>
  <c r="D81" i="136" s="1"/>
  <c r="D19" i="124" s="1"/>
  <c r="C83" i="136"/>
  <c r="D83" i="136" s="1"/>
  <c r="C84" i="136"/>
  <c r="D84" i="136" s="1"/>
  <c r="C85" i="136"/>
  <c r="D85" i="136" s="1"/>
  <c r="C88" i="136"/>
  <c r="D88" i="136" s="1"/>
  <c r="C91" i="136"/>
  <c r="D91" i="136" s="1"/>
  <c r="C54" i="136"/>
  <c r="D54" i="136" s="1"/>
  <c r="C56" i="136"/>
  <c r="D56" i="136" s="1"/>
  <c r="C57" i="136"/>
  <c r="D57" i="136" s="1"/>
  <c r="C58" i="136"/>
  <c r="D58" i="136" s="1"/>
  <c r="G66" i="136"/>
  <c r="H66" i="136" s="1"/>
  <c r="G68" i="136"/>
  <c r="H68" i="136" s="1"/>
  <c r="D6" i="124" l="1"/>
  <c r="D15" i="124"/>
  <c r="G57" i="144"/>
  <c r="H57" i="144" s="1"/>
  <c r="C74" i="144"/>
  <c r="D74" i="144" s="1"/>
  <c r="C91" i="144"/>
  <c r="D91" i="144" s="1"/>
  <c r="G26" i="144"/>
  <c r="H26" i="144" s="1"/>
  <c r="C84" i="144"/>
  <c r="D84" i="144" s="1"/>
  <c r="C67" i="144"/>
  <c r="D67" i="144" s="1"/>
  <c r="C47" i="144"/>
  <c r="D47" i="144" s="1"/>
  <c r="C40" i="144"/>
  <c r="D40" i="144" s="1"/>
  <c r="C33" i="144"/>
  <c r="D33" i="144" s="1"/>
  <c r="G33" i="144"/>
  <c r="H33" i="144" s="1"/>
  <c r="C26" i="144"/>
  <c r="D26" i="144" s="1"/>
  <c r="G40" i="144"/>
  <c r="H40" i="144" s="1"/>
  <c r="G84" i="144"/>
  <c r="H84" i="144" s="1"/>
  <c r="C57" i="144"/>
  <c r="D57" i="144" s="1"/>
  <c r="G67" i="144"/>
  <c r="H67" i="144" s="1"/>
  <c r="D14" i="124"/>
  <c r="G23" i="146"/>
  <c r="H23" i="146" s="1"/>
  <c r="G37" i="137"/>
  <c r="H37" i="137" s="1"/>
  <c r="C81" i="146"/>
  <c r="D81" i="146" s="1"/>
  <c r="D5" i="124"/>
  <c r="G54" i="137"/>
  <c r="H54" i="137" s="1"/>
  <c r="C54" i="137"/>
  <c r="D54" i="137" s="1"/>
  <c r="G81" i="146"/>
  <c r="H81" i="146" s="1"/>
  <c r="C71" i="137"/>
  <c r="D71" i="137" s="1"/>
  <c r="G64" i="137"/>
  <c r="H64" i="137" s="1"/>
  <c r="C30" i="146"/>
  <c r="D30" i="146" s="1"/>
  <c r="C71" i="146"/>
  <c r="D71" i="146" s="1"/>
  <c r="C23" i="137"/>
  <c r="D23" i="137" s="1"/>
  <c r="G37" i="146"/>
  <c r="H37" i="146" s="1"/>
  <c r="C54" i="146"/>
  <c r="D54" i="146" s="1"/>
  <c r="G30" i="137"/>
  <c r="H30" i="137" s="1"/>
  <c r="G54" i="146"/>
  <c r="H54" i="146" s="1"/>
  <c r="G64" i="146"/>
  <c r="H64" i="146" s="1"/>
  <c r="C37" i="137"/>
  <c r="D37" i="137" s="1"/>
  <c r="C64" i="146"/>
  <c r="D64" i="146" s="1"/>
  <c r="C88" i="146"/>
  <c r="D88" i="146" s="1"/>
  <c r="C44" i="137"/>
  <c r="D44" i="137" s="1"/>
  <c r="C23" i="146"/>
  <c r="D23" i="146" s="1"/>
  <c r="C81" i="137"/>
  <c r="D81" i="137" s="1"/>
  <c r="G30" i="146"/>
  <c r="H30" i="146" s="1"/>
  <c r="C88" i="137"/>
  <c r="D88" i="137" s="1"/>
  <c r="C37" i="146"/>
  <c r="D37" i="146" s="1"/>
  <c r="H3" i="137"/>
  <c r="C70" i="137" s="1"/>
  <c r="D70" i="137" s="1"/>
  <c r="H3" i="144"/>
  <c r="G29" i="144" s="1"/>
  <c r="H29" i="144" s="1"/>
  <c r="H3" i="142"/>
  <c r="C63" i="142" s="1"/>
  <c r="D63" i="142" s="1"/>
  <c r="N22" i="146"/>
  <c r="J22" i="146"/>
  <c r="D18" i="146" s="1"/>
  <c r="C70" i="146"/>
  <c r="D70" i="146" s="1"/>
  <c r="G63" i="146"/>
  <c r="H63" i="146" s="1"/>
  <c r="C53" i="146"/>
  <c r="D53" i="146" s="1"/>
  <c r="G53" i="146"/>
  <c r="H53" i="146" s="1"/>
  <c r="C43" i="146"/>
  <c r="D43" i="146" s="1"/>
  <c r="G36" i="146"/>
  <c r="H36" i="146" s="1"/>
  <c r="H42" i="146" s="1"/>
  <c r="C29" i="146"/>
  <c r="D29" i="146" s="1"/>
  <c r="C22" i="146"/>
  <c r="D22" i="146" s="1"/>
  <c r="C80" i="146"/>
  <c r="D80" i="146" s="1"/>
  <c r="C36" i="146"/>
  <c r="D36" i="146" s="1"/>
  <c r="G29" i="146"/>
  <c r="H29" i="146" s="1"/>
  <c r="G22" i="146"/>
  <c r="H22" i="146" s="1"/>
  <c r="C63" i="146"/>
  <c r="D63" i="146" s="1"/>
  <c r="C87" i="146"/>
  <c r="D87" i="146" s="1"/>
  <c r="G80" i="146"/>
  <c r="H80" i="146" s="1"/>
  <c r="C70" i="145"/>
  <c r="D70" i="145" s="1"/>
  <c r="G63" i="145"/>
  <c r="H63" i="145" s="1"/>
  <c r="C53" i="145"/>
  <c r="D53" i="145" s="1"/>
  <c r="C63" i="145"/>
  <c r="D63" i="145" s="1"/>
  <c r="G80" i="145"/>
  <c r="H80" i="145" s="1"/>
  <c r="C29" i="145"/>
  <c r="D29" i="145" s="1"/>
  <c r="C22" i="145"/>
  <c r="D22" i="145" s="1"/>
  <c r="C80" i="145"/>
  <c r="D80" i="145" s="1"/>
  <c r="C36" i="145"/>
  <c r="D36" i="145" s="1"/>
  <c r="G29" i="145"/>
  <c r="H29" i="145" s="1"/>
  <c r="G22" i="145"/>
  <c r="H22" i="145" s="1"/>
  <c r="G53" i="145"/>
  <c r="H53" i="145" s="1"/>
  <c r="C87" i="145"/>
  <c r="D87" i="145" s="1"/>
  <c r="C43" i="145"/>
  <c r="D43" i="145" s="1"/>
  <c r="G36" i="145"/>
  <c r="H36" i="145" s="1"/>
  <c r="H42" i="145" s="1"/>
  <c r="N22" i="145"/>
  <c r="J22" i="145"/>
  <c r="D18" i="145" s="1"/>
  <c r="H3" i="140"/>
  <c r="N22" i="143"/>
  <c r="J22" i="143"/>
  <c r="D18" i="143" s="1"/>
  <c r="C88" i="143"/>
  <c r="D88" i="143" s="1"/>
  <c r="C81" i="143"/>
  <c r="D81" i="143" s="1"/>
  <c r="C44" i="143"/>
  <c r="D44" i="143" s="1"/>
  <c r="C37" i="143"/>
  <c r="D37" i="143" s="1"/>
  <c r="G30" i="143"/>
  <c r="H30" i="143" s="1"/>
  <c r="C23" i="143"/>
  <c r="D23" i="143" s="1"/>
  <c r="C71" i="143"/>
  <c r="D71" i="143" s="1"/>
  <c r="C64" i="143"/>
  <c r="D64" i="143" s="1"/>
  <c r="G54" i="143"/>
  <c r="H54" i="143" s="1"/>
  <c r="G23" i="143"/>
  <c r="H23" i="143" s="1"/>
  <c r="G81" i="143"/>
  <c r="H81" i="143" s="1"/>
  <c r="G37" i="143"/>
  <c r="H37" i="143" s="1"/>
  <c r="C30" i="143"/>
  <c r="D30" i="143" s="1"/>
  <c r="G64" i="143"/>
  <c r="H64" i="143" s="1"/>
  <c r="C54" i="143"/>
  <c r="D54" i="143" s="1"/>
  <c r="J22" i="142"/>
  <c r="D18" i="142" s="1"/>
  <c r="G81" i="140"/>
  <c r="H81" i="140" s="1"/>
  <c r="G64" i="140"/>
  <c r="H64" i="140" s="1"/>
  <c r="C81" i="140"/>
  <c r="D81" i="140" s="1"/>
  <c r="G37" i="140"/>
  <c r="C30" i="140"/>
  <c r="D30" i="140" s="1"/>
  <c r="G23" i="140"/>
  <c r="H23" i="140" s="1"/>
  <c r="C64" i="140"/>
  <c r="D64" i="140" s="1"/>
  <c r="C54" i="140"/>
  <c r="D54" i="140" s="1"/>
  <c r="C88" i="140"/>
  <c r="D88" i="140" s="1"/>
  <c r="C44" i="140"/>
  <c r="D44" i="140" s="1"/>
  <c r="C37" i="140"/>
  <c r="D37" i="140" s="1"/>
  <c r="G30" i="140"/>
  <c r="H30" i="140" s="1"/>
  <c r="C23" i="140"/>
  <c r="D23" i="140" s="1"/>
  <c r="C71" i="140"/>
  <c r="D71" i="140" s="1"/>
  <c r="G54" i="140"/>
  <c r="H54" i="140" s="1"/>
  <c r="N22" i="141"/>
  <c r="J22" i="141"/>
  <c r="D18" i="141" s="1"/>
  <c r="H3" i="143"/>
  <c r="N22" i="142"/>
  <c r="J22" i="140"/>
  <c r="D18" i="140" s="1"/>
  <c r="N22" i="140"/>
  <c r="N22" i="144"/>
  <c r="J22" i="144"/>
  <c r="D18" i="144" s="1"/>
  <c r="H3" i="141"/>
  <c r="N22" i="139"/>
  <c r="J22" i="139"/>
  <c r="D18" i="139" s="1"/>
  <c r="C70" i="139"/>
  <c r="D70" i="139" s="1"/>
  <c r="G63" i="139"/>
  <c r="H63" i="139" s="1"/>
  <c r="C53" i="139"/>
  <c r="D53" i="139" s="1"/>
  <c r="C87" i="139"/>
  <c r="D87" i="139" s="1"/>
  <c r="G80" i="139"/>
  <c r="H80" i="139" s="1"/>
  <c r="C43" i="139"/>
  <c r="D43" i="139" s="1"/>
  <c r="C29" i="139"/>
  <c r="D29" i="139" s="1"/>
  <c r="C80" i="139"/>
  <c r="D80" i="139" s="1"/>
  <c r="C36" i="139"/>
  <c r="D36" i="139" s="1"/>
  <c r="G29" i="139"/>
  <c r="H29" i="139" s="1"/>
  <c r="G22" i="139"/>
  <c r="H22" i="139" s="1"/>
  <c r="C63" i="139"/>
  <c r="D63" i="139" s="1"/>
  <c r="G53" i="139"/>
  <c r="H53" i="139" s="1"/>
  <c r="G36" i="139"/>
  <c r="H36" i="139" s="1"/>
  <c r="H42" i="139" s="1"/>
  <c r="C22" i="139"/>
  <c r="D22" i="139" s="1"/>
  <c r="J22" i="138"/>
  <c r="D18" i="138" s="1"/>
  <c r="N22" i="138"/>
  <c r="C70" i="138"/>
  <c r="D70" i="138" s="1"/>
  <c r="G63" i="138"/>
  <c r="H63" i="138" s="1"/>
  <c r="C53" i="138"/>
  <c r="D53" i="138" s="1"/>
  <c r="C43" i="138"/>
  <c r="D43" i="138" s="1"/>
  <c r="C80" i="138"/>
  <c r="D80" i="138" s="1"/>
  <c r="C36" i="138"/>
  <c r="D36" i="138" s="1"/>
  <c r="G29" i="138"/>
  <c r="H29" i="138" s="1"/>
  <c r="G22" i="138"/>
  <c r="H22" i="138" s="1"/>
  <c r="C63" i="138"/>
  <c r="D63" i="138" s="1"/>
  <c r="G53" i="138"/>
  <c r="H53" i="138" s="1"/>
  <c r="C87" i="138"/>
  <c r="D87" i="138" s="1"/>
  <c r="G80" i="138"/>
  <c r="H80" i="138" s="1"/>
  <c r="G36" i="138"/>
  <c r="H36" i="138" s="1"/>
  <c r="H42" i="138" s="1"/>
  <c r="C29" i="138"/>
  <c r="D29" i="138" s="1"/>
  <c r="C22" i="138"/>
  <c r="D22" i="138" s="1"/>
  <c r="N22" i="137"/>
  <c r="J22" i="137"/>
  <c r="D18" i="137" s="1"/>
  <c r="C70" i="136"/>
  <c r="D70" i="136" s="1"/>
  <c r="D76" i="136" s="1"/>
  <c r="G63" i="136"/>
  <c r="H63" i="136" s="1"/>
  <c r="H69" i="136" s="1"/>
  <c r="C53" i="136"/>
  <c r="D53" i="136" s="1"/>
  <c r="D59" i="136" s="1"/>
  <c r="C80" i="136"/>
  <c r="D80" i="136" s="1"/>
  <c r="D86" i="136" s="1"/>
  <c r="C36" i="136"/>
  <c r="D36" i="136" s="1"/>
  <c r="D42" i="136" s="1"/>
  <c r="D11" i="124" s="1"/>
  <c r="G29" i="136"/>
  <c r="H29" i="136" s="1"/>
  <c r="G22" i="136"/>
  <c r="H22" i="136" s="1"/>
  <c r="H28" i="136" s="1"/>
  <c r="C63" i="136"/>
  <c r="D63" i="136" s="1"/>
  <c r="G53" i="136"/>
  <c r="H53" i="136" s="1"/>
  <c r="C87" i="136"/>
  <c r="D87" i="136" s="1"/>
  <c r="D93" i="136" s="1"/>
  <c r="G80" i="136"/>
  <c r="H80" i="136" s="1"/>
  <c r="C43" i="136"/>
  <c r="D43" i="136" s="1"/>
  <c r="D49" i="136" s="1"/>
  <c r="G36" i="136"/>
  <c r="H36" i="136" s="1"/>
  <c r="H42" i="136" s="1"/>
  <c r="C29" i="136"/>
  <c r="D29" i="136" s="1"/>
  <c r="C22" i="136"/>
  <c r="D22" i="136" s="1"/>
  <c r="D28" i="136" s="1"/>
  <c r="J22" i="136"/>
  <c r="D18" i="136" s="1"/>
  <c r="N22" i="136"/>
  <c r="C36" i="137" l="1"/>
  <c r="D36" i="137" s="1"/>
  <c r="G36" i="137"/>
  <c r="H36" i="137" s="1"/>
  <c r="H42" i="137" s="1"/>
  <c r="C43" i="137"/>
  <c r="D43" i="137" s="1"/>
  <c r="C22" i="137"/>
  <c r="D22" i="137" s="1"/>
  <c r="D28" i="137" s="1"/>
  <c r="G80" i="137"/>
  <c r="H80" i="137" s="1"/>
  <c r="H86" i="137" s="1"/>
  <c r="C63" i="137"/>
  <c r="D63" i="137" s="1"/>
  <c r="C53" i="137"/>
  <c r="D53" i="137" s="1"/>
  <c r="D59" i="137" s="1"/>
  <c r="G22" i="137"/>
  <c r="H22" i="137" s="1"/>
  <c r="E6" i="124" s="1"/>
  <c r="G29" i="137"/>
  <c r="H29" i="137" s="1"/>
  <c r="C80" i="137"/>
  <c r="D80" i="137" s="1"/>
  <c r="D86" i="137" s="1"/>
  <c r="C29" i="137"/>
  <c r="D29" i="137" s="1"/>
  <c r="D35" i="137" s="1"/>
  <c r="C87" i="137"/>
  <c r="D87" i="137" s="1"/>
  <c r="D93" i="137" s="1"/>
  <c r="G53" i="137"/>
  <c r="H53" i="137" s="1"/>
  <c r="H59" i="137" s="1"/>
  <c r="G63" i="137"/>
  <c r="H63" i="137" s="1"/>
  <c r="E15" i="124" s="1"/>
  <c r="C53" i="144"/>
  <c r="D53" i="144" s="1"/>
  <c r="D59" i="144" s="1"/>
  <c r="G53" i="144"/>
  <c r="H53" i="144" s="1"/>
  <c r="H59" i="144" s="1"/>
  <c r="C70" i="144"/>
  <c r="D70" i="144" s="1"/>
  <c r="D76" i="144" s="1"/>
  <c r="G63" i="144"/>
  <c r="H63" i="144" s="1"/>
  <c r="H69" i="144" s="1"/>
  <c r="C87" i="144"/>
  <c r="D87" i="144" s="1"/>
  <c r="L19" i="124" s="1"/>
  <c r="C80" i="144"/>
  <c r="D80" i="144" s="1"/>
  <c r="D86" i="144" s="1"/>
  <c r="C43" i="144"/>
  <c r="D43" i="144" s="1"/>
  <c r="D49" i="144" s="1"/>
  <c r="C63" i="144"/>
  <c r="D63" i="144" s="1"/>
  <c r="D69" i="144" s="1"/>
  <c r="C36" i="144"/>
  <c r="D36" i="144" s="1"/>
  <c r="D42" i="144" s="1"/>
  <c r="D12" i="124"/>
  <c r="C22" i="144"/>
  <c r="D22" i="144" s="1"/>
  <c r="D28" i="144" s="1"/>
  <c r="C29" i="144"/>
  <c r="D29" i="144" s="1"/>
  <c r="D35" i="144" s="1"/>
  <c r="G36" i="144"/>
  <c r="H36" i="144" s="1"/>
  <c r="H42" i="144" s="1"/>
  <c r="G80" i="144"/>
  <c r="H80" i="144" s="1"/>
  <c r="L18" i="124" s="1"/>
  <c r="G22" i="144"/>
  <c r="H22" i="144" s="1"/>
  <c r="L6" i="124" s="1"/>
  <c r="C80" i="142"/>
  <c r="D80" i="142" s="1"/>
  <c r="D86" i="142" s="1"/>
  <c r="C43" i="142"/>
  <c r="D43" i="142" s="1"/>
  <c r="J11" i="124" s="1"/>
  <c r="C53" i="142"/>
  <c r="D53" i="142" s="1"/>
  <c r="D59" i="142" s="1"/>
  <c r="C70" i="142"/>
  <c r="D70" i="142" s="1"/>
  <c r="D76" i="142" s="1"/>
  <c r="C22" i="142"/>
  <c r="D22" i="142" s="1"/>
  <c r="D28" i="142" s="1"/>
  <c r="C87" i="142"/>
  <c r="D87" i="142" s="1"/>
  <c r="D93" i="142" s="1"/>
  <c r="C36" i="142"/>
  <c r="D36" i="142" s="1"/>
  <c r="D42" i="142" s="1"/>
  <c r="G80" i="142"/>
  <c r="H80" i="142" s="1"/>
  <c r="J18" i="124" s="1"/>
  <c r="G22" i="142"/>
  <c r="H22" i="142" s="1"/>
  <c r="J6" i="124" s="1"/>
  <c r="G63" i="142"/>
  <c r="H63" i="142" s="1"/>
  <c r="H69" i="142" s="1"/>
  <c r="G29" i="142"/>
  <c r="H29" i="142" s="1"/>
  <c r="H35" i="142" s="1"/>
  <c r="C29" i="142"/>
  <c r="D29" i="142" s="1"/>
  <c r="D35" i="142" s="1"/>
  <c r="G53" i="142"/>
  <c r="H53" i="142" s="1"/>
  <c r="H59" i="142" s="1"/>
  <c r="G36" i="142"/>
  <c r="H36" i="142" s="1"/>
  <c r="H42" i="142" s="1"/>
  <c r="D69" i="136"/>
  <c r="D16" i="124"/>
  <c r="H59" i="136"/>
  <c r="D13" i="124"/>
  <c r="H35" i="136"/>
  <c r="D10" i="124" s="1"/>
  <c r="D8" i="124"/>
  <c r="D35" i="136"/>
  <c r="D9" i="124" s="1"/>
  <c r="D7" i="124"/>
  <c r="H86" i="136"/>
  <c r="D18" i="124"/>
  <c r="H35" i="146"/>
  <c r="N9" i="124"/>
  <c r="D42" i="146"/>
  <c r="N10" i="124"/>
  <c r="D28" i="146"/>
  <c r="N5" i="124"/>
  <c r="D86" i="146"/>
  <c r="N17" i="124"/>
  <c r="D35" i="146"/>
  <c r="N7" i="124"/>
  <c r="N8" i="124"/>
  <c r="D49" i="146"/>
  <c r="N11" i="124"/>
  <c r="H59" i="146"/>
  <c r="N13" i="124"/>
  <c r="H86" i="146"/>
  <c r="N18" i="124"/>
  <c r="D59" i="146"/>
  <c r="N12" i="124"/>
  <c r="D93" i="146"/>
  <c r="N19" i="124"/>
  <c r="H69" i="146"/>
  <c r="N15" i="124"/>
  <c r="D69" i="146"/>
  <c r="N14" i="124"/>
  <c r="D76" i="146"/>
  <c r="N16" i="124"/>
  <c r="H28" i="146"/>
  <c r="N6" i="124"/>
  <c r="D35" i="145"/>
  <c r="M7" i="124"/>
  <c r="M8" i="124"/>
  <c r="H86" i="145"/>
  <c r="M18" i="124"/>
  <c r="D69" i="145"/>
  <c r="M14" i="124"/>
  <c r="D28" i="145"/>
  <c r="M5" i="124"/>
  <c r="D59" i="145"/>
  <c r="M12" i="124"/>
  <c r="D49" i="145"/>
  <c r="M11" i="124"/>
  <c r="H69" i="145"/>
  <c r="M15" i="124"/>
  <c r="D76" i="145"/>
  <c r="M16" i="124"/>
  <c r="H59" i="145"/>
  <c r="M13" i="124"/>
  <c r="D93" i="145"/>
  <c r="M19" i="124"/>
  <c r="H28" i="145"/>
  <c r="M6" i="124"/>
  <c r="H35" i="145"/>
  <c r="M9" i="124"/>
  <c r="D42" i="145"/>
  <c r="M10" i="124"/>
  <c r="D86" i="145"/>
  <c r="M17" i="124"/>
  <c r="H35" i="144"/>
  <c r="L9" i="124"/>
  <c r="L10" i="124"/>
  <c r="L12" i="124"/>
  <c r="L16" i="124"/>
  <c r="D69" i="142"/>
  <c r="J14" i="124"/>
  <c r="H59" i="139"/>
  <c r="G13" i="124"/>
  <c r="D28" i="139"/>
  <c r="G5" i="124"/>
  <c r="H28" i="139"/>
  <c r="G6" i="124"/>
  <c r="D35" i="139"/>
  <c r="G7" i="124"/>
  <c r="G8" i="124"/>
  <c r="D59" i="139"/>
  <c r="G12" i="124"/>
  <c r="H35" i="139"/>
  <c r="G9" i="124"/>
  <c r="D49" i="139"/>
  <c r="G11" i="124"/>
  <c r="H69" i="139"/>
  <c r="G15" i="124"/>
  <c r="D42" i="139"/>
  <c r="G10" i="124"/>
  <c r="H86" i="139"/>
  <c r="G18" i="124"/>
  <c r="D76" i="139"/>
  <c r="G16" i="124"/>
  <c r="D69" i="139"/>
  <c r="G14" i="124"/>
  <c r="D86" i="139"/>
  <c r="G17" i="124"/>
  <c r="D93" i="139"/>
  <c r="G19" i="124"/>
  <c r="H86" i="138"/>
  <c r="F18" i="124"/>
  <c r="H28" i="138"/>
  <c r="F6" i="124"/>
  <c r="D49" i="138"/>
  <c r="F11" i="124"/>
  <c r="D28" i="138"/>
  <c r="F5" i="124"/>
  <c r="D93" i="138"/>
  <c r="F19" i="124"/>
  <c r="H35" i="138"/>
  <c r="F9" i="124"/>
  <c r="D59" i="138"/>
  <c r="F12" i="124"/>
  <c r="D35" i="138"/>
  <c r="F8" i="124"/>
  <c r="F7" i="124"/>
  <c r="H59" i="138"/>
  <c r="F13" i="124"/>
  <c r="D42" i="138"/>
  <c r="F10" i="124"/>
  <c r="H69" i="138"/>
  <c r="F15" i="124"/>
  <c r="D69" i="138"/>
  <c r="F14" i="124"/>
  <c r="D86" i="138"/>
  <c r="F17" i="124"/>
  <c r="D76" i="138"/>
  <c r="F16" i="124"/>
  <c r="H35" i="137"/>
  <c r="E9" i="124"/>
  <c r="D69" i="137"/>
  <c r="E14" i="124"/>
  <c r="D76" i="137"/>
  <c r="E16" i="124"/>
  <c r="D42" i="137"/>
  <c r="E10" i="124"/>
  <c r="D49" i="137"/>
  <c r="E11" i="124"/>
  <c r="C80" i="141"/>
  <c r="D80" i="141" s="1"/>
  <c r="C36" i="141"/>
  <c r="D36" i="141" s="1"/>
  <c r="G29" i="141"/>
  <c r="H29" i="141" s="1"/>
  <c r="G22" i="141"/>
  <c r="H22" i="141" s="1"/>
  <c r="C63" i="141"/>
  <c r="D63" i="141" s="1"/>
  <c r="G53" i="141"/>
  <c r="H53" i="141" s="1"/>
  <c r="C87" i="141"/>
  <c r="D87" i="141" s="1"/>
  <c r="G80" i="141"/>
  <c r="H80" i="141" s="1"/>
  <c r="C43" i="141"/>
  <c r="D43" i="141" s="1"/>
  <c r="G36" i="141"/>
  <c r="H36" i="141" s="1"/>
  <c r="H42" i="141" s="1"/>
  <c r="C29" i="141"/>
  <c r="D29" i="141" s="1"/>
  <c r="C22" i="141"/>
  <c r="D22" i="141" s="1"/>
  <c r="C70" i="141"/>
  <c r="D70" i="141" s="1"/>
  <c r="G63" i="141"/>
  <c r="H63" i="141" s="1"/>
  <c r="C53" i="141"/>
  <c r="D53" i="141" s="1"/>
  <c r="C80" i="143"/>
  <c r="D80" i="143" s="1"/>
  <c r="C36" i="143"/>
  <c r="D36" i="143" s="1"/>
  <c r="G29" i="143"/>
  <c r="H29" i="143" s="1"/>
  <c r="G22" i="143"/>
  <c r="H22" i="143" s="1"/>
  <c r="C63" i="143"/>
  <c r="D63" i="143" s="1"/>
  <c r="G53" i="143"/>
  <c r="H53" i="143" s="1"/>
  <c r="G80" i="143"/>
  <c r="H80" i="143" s="1"/>
  <c r="G36" i="143"/>
  <c r="H36" i="143" s="1"/>
  <c r="H42" i="143" s="1"/>
  <c r="C29" i="143"/>
  <c r="D29" i="143" s="1"/>
  <c r="G63" i="143"/>
  <c r="H63" i="143" s="1"/>
  <c r="C53" i="143"/>
  <c r="D53" i="143" s="1"/>
  <c r="C22" i="143"/>
  <c r="D22" i="143" s="1"/>
  <c r="C87" i="143"/>
  <c r="D87" i="143" s="1"/>
  <c r="C43" i="143"/>
  <c r="D43" i="143" s="1"/>
  <c r="C70" i="143"/>
  <c r="D70" i="143" s="1"/>
  <c r="C87" i="140"/>
  <c r="D87" i="140" s="1"/>
  <c r="G80" i="140"/>
  <c r="H80" i="140" s="1"/>
  <c r="C70" i="140"/>
  <c r="D70" i="140" s="1"/>
  <c r="G63" i="140"/>
  <c r="H63" i="140" s="1"/>
  <c r="C63" i="140"/>
  <c r="D63" i="140" s="1"/>
  <c r="C43" i="140"/>
  <c r="D43" i="140" s="1"/>
  <c r="G36" i="140"/>
  <c r="H36" i="140" s="1"/>
  <c r="H42" i="140" s="1"/>
  <c r="C29" i="140"/>
  <c r="D29" i="140" s="1"/>
  <c r="C22" i="140"/>
  <c r="D22" i="140" s="1"/>
  <c r="C53" i="140"/>
  <c r="D53" i="140" s="1"/>
  <c r="C80" i="140"/>
  <c r="D80" i="140" s="1"/>
  <c r="C36" i="140"/>
  <c r="D36" i="140" s="1"/>
  <c r="G29" i="140"/>
  <c r="H29" i="140" s="1"/>
  <c r="G22" i="140"/>
  <c r="H22" i="140" s="1"/>
  <c r="G53" i="140"/>
  <c r="H53" i="140" s="1"/>
  <c r="H69" i="137" l="1"/>
  <c r="E12" i="124"/>
  <c r="E18" i="124"/>
  <c r="E17" i="124"/>
  <c r="E13" i="124"/>
  <c r="H28" i="137"/>
  <c r="J21" i="137" s="1"/>
  <c r="E19" i="124"/>
  <c r="E5" i="124"/>
  <c r="H86" i="144"/>
  <c r="E7" i="124"/>
  <c r="E8" i="124"/>
  <c r="H28" i="142"/>
  <c r="L14" i="124"/>
  <c r="D93" i="144"/>
  <c r="L15" i="124"/>
  <c r="L11" i="124"/>
  <c r="H28" i="144"/>
  <c r="J15" i="124"/>
  <c r="L5" i="124"/>
  <c r="L8" i="124"/>
  <c r="L7" i="124"/>
  <c r="L17" i="124"/>
  <c r="L13" i="124"/>
  <c r="J19" i="124"/>
  <c r="J13" i="124"/>
  <c r="J12" i="124"/>
  <c r="D49" i="142"/>
  <c r="J5" i="124"/>
  <c r="J16" i="124"/>
  <c r="H86" i="142"/>
  <c r="J17" i="124"/>
  <c r="J8" i="124"/>
  <c r="J9" i="124"/>
  <c r="J7" i="124"/>
  <c r="J10" i="124"/>
  <c r="J21" i="136"/>
  <c r="J21" i="146"/>
  <c r="J21" i="145"/>
  <c r="D42" i="143"/>
  <c r="K10" i="124"/>
  <c r="D86" i="143"/>
  <c r="K17" i="124"/>
  <c r="H69" i="143"/>
  <c r="K15" i="124"/>
  <c r="H59" i="143"/>
  <c r="K13" i="124"/>
  <c r="H86" i="143"/>
  <c r="K18" i="124"/>
  <c r="D69" i="143"/>
  <c r="K14" i="124"/>
  <c r="D35" i="143"/>
  <c r="K8" i="124"/>
  <c r="K7" i="124"/>
  <c r="H28" i="143"/>
  <c r="K6" i="124"/>
  <c r="D76" i="143"/>
  <c r="K16" i="124"/>
  <c r="H35" i="143"/>
  <c r="K9" i="124"/>
  <c r="D49" i="143"/>
  <c r="K11" i="124"/>
  <c r="D93" i="143"/>
  <c r="K19" i="124"/>
  <c r="D28" i="143"/>
  <c r="K5" i="124"/>
  <c r="D59" i="143"/>
  <c r="K12" i="124"/>
  <c r="H35" i="141"/>
  <c r="I9" i="124"/>
  <c r="H59" i="141"/>
  <c r="I13" i="124"/>
  <c r="D42" i="141"/>
  <c r="I10" i="124"/>
  <c r="D59" i="141"/>
  <c r="I12" i="124"/>
  <c r="D93" i="141"/>
  <c r="I19" i="124"/>
  <c r="D76" i="141"/>
  <c r="I16" i="124"/>
  <c r="D49" i="141"/>
  <c r="I11" i="124"/>
  <c r="D69" i="141"/>
  <c r="I14" i="124"/>
  <c r="D86" i="141"/>
  <c r="I17" i="124"/>
  <c r="D35" i="141"/>
  <c r="I8" i="124"/>
  <c r="I7" i="124"/>
  <c r="H69" i="141"/>
  <c r="I15" i="124"/>
  <c r="D28" i="141"/>
  <c r="I5" i="124"/>
  <c r="H86" i="141"/>
  <c r="I18" i="124"/>
  <c r="H28" i="141"/>
  <c r="I6" i="124"/>
  <c r="H69" i="140"/>
  <c r="H15" i="124"/>
  <c r="D86" i="140"/>
  <c r="H17" i="124"/>
  <c r="D59" i="140"/>
  <c r="H12" i="124"/>
  <c r="D42" i="140"/>
  <c r="H10" i="124"/>
  <c r="D35" i="140"/>
  <c r="H8" i="124"/>
  <c r="H7" i="124"/>
  <c r="H59" i="140"/>
  <c r="H13" i="124"/>
  <c r="D76" i="140"/>
  <c r="H16" i="124"/>
  <c r="H28" i="140"/>
  <c r="H6" i="124"/>
  <c r="D49" i="140"/>
  <c r="H11" i="124"/>
  <c r="H86" i="140"/>
  <c r="H18" i="124"/>
  <c r="H35" i="140"/>
  <c r="H9" i="124"/>
  <c r="D28" i="140"/>
  <c r="H5" i="124"/>
  <c r="D69" i="140"/>
  <c r="H14" i="124"/>
  <c r="D93" i="140"/>
  <c r="H19" i="124"/>
  <c r="J21" i="139"/>
  <c r="J21" i="138"/>
  <c r="J21" i="140" l="1"/>
  <c r="J21" i="144"/>
  <c r="J21" i="141"/>
  <c r="J21" i="142"/>
  <c r="J21" i="143"/>
  <c r="D8" i="116" l="1"/>
  <c r="D9" i="116"/>
  <c r="D10" i="116"/>
  <c r="H5" i="116" l="1"/>
  <c r="H4" i="116"/>
  <c r="H6" i="116" l="1"/>
  <c r="G67" i="116" s="1"/>
  <c r="H67" i="116" s="1"/>
  <c r="N21" i="116"/>
  <c r="D11" i="116"/>
  <c r="C75" i="116"/>
  <c r="D75" i="116" s="1"/>
  <c r="D4" i="116"/>
  <c r="D5" i="116" s="1"/>
  <c r="D7" i="116" s="1"/>
  <c r="S21" i="116" s="1"/>
  <c r="C73" i="116"/>
  <c r="D73" i="116" s="1"/>
  <c r="G64" i="116"/>
  <c r="H64" i="116" s="1"/>
  <c r="H3" i="116" l="1"/>
  <c r="C32" i="116"/>
  <c r="D32" i="116" s="1"/>
  <c r="G41" i="116"/>
  <c r="H41" i="116" s="1"/>
  <c r="G23" i="116"/>
  <c r="H23" i="116" s="1"/>
  <c r="C46" i="116"/>
  <c r="D46" i="116" s="1"/>
  <c r="G25" i="116"/>
  <c r="H25" i="116" s="1"/>
  <c r="G83" i="116"/>
  <c r="H83" i="116" s="1"/>
  <c r="C34" i="116"/>
  <c r="D34" i="116" s="1"/>
  <c r="G85" i="116"/>
  <c r="H85" i="116" s="1"/>
  <c r="G27" i="116"/>
  <c r="H27" i="116" s="1"/>
  <c r="G37" i="116"/>
  <c r="H37" i="116" s="1"/>
  <c r="C48" i="116"/>
  <c r="D48" i="116" s="1"/>
  <c r="C90" i="116"/>
  <c r="D90" i="116" s="1"/>
  <c r="C30" i="116"/>
  <c r="D30" i="116" s="1"/>
  <c r="G39" i="116"/>
  <c r="H39" i="116" s="1"/>
  <c r="G81" i="116"/>
  <c r="H81" i="116" s="1"/>
  <c r="C92" i="116"/>
  <c r="D92" i="116" s="1"/>
  <c r="G40" i="116"/>
  <c r="H40" i="116" s="1"/>
  <c r="G84" i="116"/>
  <c r="H84" i="116" s="1"/>
  <c r="G54" i="116"/>
  <c r="H54" i="116" s="1"/>
  <c r="G56" i="116"/>
  <c r="H56" i="116" s="1"/>
  <c r="G57" i="116"/>
  <c r="H57" i="116" s="1"/>
  <c r="G58" i="116"/>
  <c r="H58" i="116" s="1"/>
  <c r="C64" i="116"/>
  <c r="D64" i="116" s="1"/>
  <c r="C66" i="116"/>
  <c r="D66" i="116" s="1"/>
  <c r="C67" i="116"/>
  <c r="D67" i="116" s="1"/>
  <c r="C68" i="116"/>
  <c r="D68" i="116" s="1"/>
  <c r="C71" i="116"/>
  <c r="D71" i="116" s="1"/>
  <c r="C17" i="124" s="1"/>
  <c r="C74" i="116"/>
  <c r="D74" i="116" s="1"/>
  <c r="G26" i="116"/>
  <c r="H26" i="116" s="1"/>
  <c r="C23" i="116"/>
  <c r="D23" i="116" s="1"/>
  <c r="C25" i="116"/>
  <c r="D25" i="116" s="1"/>
  <c r="C26" i="116"/>
  <c r="D26" i="116" s="1"/>
  <c r="C27" i="116"/>
  <c r="D27" i="116" s="1"/>
  <c r="G30" i="116"/>
  <c r="H30" i="116" s="1"/>
  <c r="G32" i="116"/>
  <c r="H32" i="116" s="1"/>
  <c r="G33" i="116"/>
  <c r="H33" i="116" s="1"/>
  <c r="G34" i="116"/>
  <c r="H34" i="116" s="1"/>
  <c r="C37" i="116"/>
  <c r="D37" i="116" s="1"/>
  <c r="C39" i="116"/>
  <c r="D39" i="116" s="1"/>
  <c r="C40" i="116"/>
  <c r="D40" i="116" s="1"/>
  <c r="C41" i="116"/>
  <c r="D41" i="116" s="1"/>
  <c r="C44" i="116"/>
  <c r="D44" i="116" s="1"/>
  <c r="C47" i="116"/>
  <c r="D47" i="116" s="1"/>
  <c r="C81" i="116"/>
  <c r="D81" i="116" s="1"/>
  <c r="C19" i="124" s="1"/>
  <c r="C83" i="116"/>
  <c r="D83" i="116" s="1"/>
  <c r="C84" i="116"/>
  <c r="D84" i="116" s="1"/>
  <c r="C85" i="116"/>
  <c r="D85" i="116" s="1"/>
  <c r="C88" i="116"/>
  <c r="D88" i="116" s="1"/>
  <c r="C91" i="116"/>
  <c r="D91" i="116" s="1"/>
  <c r="C33" i="116"/>
  <c r="D33" i="116" s="1"/>
  <c r="C54" i="116"/>
  <c r="D54" i="116" s="1"/>
  <c r="C56" i="116"/>
  <c r="D56" i="116" s="1"/>
  <c r="C57" i="116"/>
  <c r="D57" i="116" s="1"/>
  <c r="C58" i="116"/>
  <c r="D58" i="116" s="1"/>
  <c r="G66" i="116"/>
  <c r="H66" i="116" s="1"/>
  <c r="G68" i="116"/>
  <c r="H68" i="116" s="1"/>
  <c r="C15" i="124" l="1"/>
  <c r="C5" i="124"/>
  <c r="C6" i="124"/>
  <c r="C14" i="124"/>
  <c r="J22" i="116"/>
  <c r="D18" i="116" s="1"/>
  <c r="N22" i="116"/>
  <c r="C70" i="116"/>
  <c r="D70" i="116" s="1"/>
  <c r="G63" i="116"/>
  <c r="H63" i="116" s="1"/>
  <c r="C53" i="116"/>
  <c r="D53" i="116" s="1"/>
  <c r="G22" i="116"/>
  <c r="H22" i="116" s="1"/>
  <c r="C43" i="116"/>
  <c r="D43" i="116" s="1"/>
  <c r="C80" i="116"/>
  <c r="D80" i="116" s="1"/>
  <c r="C36" i="116"/>
  <c r="D36" i="116" s="1"/>
  <c r="G29" i="116"/>
  <c r="H29" i="116" s="1"/>
  <c r="C8" i="124" s="1"/>
  <c r="C29" i="116"/>
  <c r="D29" i="116" s="1"/>
  <c r="C7" i="124" s="1"/>
  <c r="C63" i="116"/>
  <c r="D63" i="116" s="1"/>
  <c r="C16" i="124" s="1"/>
  <c r="G53" i="116"/>
  <c r="H53" i="116" s="1"/>
  <c r="C13" i="124" s="1"/>
  <c r="C22" i="116"/>
  <c r="D22" i="116" s="1"/>
  <c r="C87" i="116"/>
  <c r="D87" i="116" s="1"/>
  <c r="G80" i="116"/>
  <c r="H80" i="116" s="1"/>
  <c r="C18" i="124" s="1"/>
  <c r="G36" i="116"/>
  <c r="H36" i="116" s="1"/>
  <c r="H42" i="116" s="1"/>
  <c r="D93" i="116" l="1"/>
  <c r="D76" i="116"/>
  <c r="D28" i="116"/>
  <c r="H35" i="116"/>
  <c r="C10" i="124" s="1"/>
  <c r="H28" i="116"/>
  <c r="D35" i="116"/>
  <c r="C9" i="124" s="1"/>
  <c r="H59" i="116"/>
  <c r="D42" i="116"/>
  <c r="C11" i="124" s="1"/>
  <c r="D59" i="116"/>
  <c r="D49" i="116"/>
  <c r="C12" i="124" s="1"/>
  <c r="H86" i="116"/>
  <c r="D69" i="116"/>
  <c r="D86" i="116"/>
  <c r="H69" i="116"/>
  <c r="J21" i="116" l="1"/>
  <c r="H9" i="80" l="1"/>
  <c r="H8" i="80"/>
  <c r="D67" i="80" s="1"/>
  <c r="H7" i="80"/>
  <c r="D20" i="80" s="1"/>
  <c r="F46" i="80" s="1"/>
  <c r="H5" i="80"/>
  <c r="H4" i="80"/>
  <c r="H6" i="80"/>
  <c r="D45" i="80" s="1"/>
  <c r="G13" i="80"/>
  <c r="B66" i="80"/>
  <c r="D68" i="80"/>
  <c r="D63" i="80"/>
  <c r="B65" i="80"/>
  <c r="B64" i="80"/>
  <c r="B63" i="80"/>
  <c r="C66" i="80"/>
  <c r="C64" i="80"/>
  <c r="C63" i="80"/>
  <c r="B56" i="80"/>
  <c r="B55" i="80"/>
  <c r="B54" i="80"/>
  <c r="B53" i="80"/>
  <c r="C56" i="80"/>
  <c r="C54" i="80"/>
  <c r="C53" i="80"/>
  <c r="B46" i="80"/>
  <c r="B45" i="80"/>
  <c r="B44" i="80"/>
  <c r="B43" i="80"/>
  <c r="C46" i="80"/>
  <c r="C44" i="80"/>
  <c r="C43" i="80"/>
  <c r="B30" i="80"/>
  <c r="B29" i="80"/>
  <c r="B28" i="80"/>
  <c r="B27" i="80"/>
  <c r="C30" i="80"/>
  <c r="C28" i="80"/>
  <c r="C27" i="80"/>
  <c r="B20" i="80"/>
  <c r="B19" i="80"/>
  <c r="B18" i="80"/>
  <c r="B17" i="80"/>
  <c r="D22" i="80"/>
  <c r="F68" i="80" s="1"/>
  <c r="D44" i="80"/>
  <c r="D17" i="80"/>
  <c r="F63" i="80" s="1"/>
  <c r="D21" i="80" l="1"/>
  <c r="F57" i="80" s="1"/>
  <c r="F32" i="80"/>
  <c r="F48" i="80"/>
  <c r="F58" i="80"/>
  <c r="F22" i="80"/>
  <c r="F31" i="80"/>
  <c r="F67" i="80"/>
  <c r="F21" i="80"/>
  <c r="F47" i="80"/>
  <c r="F56" i="80"/>
  <c r="D66" i="80"/>
  <c r="F30" i="80"/>
  <c r="F20" i="80"/>
  <c r="F66" i="80"/>
  <c r="D65" i="80"/>
  <c r="D64" i="80"/>
  <c r="F53" i="80"/>
  <c r="F17" i="80"/>
  <c r="F43" i="80"/>
  <c r="F27" i="80"/>
  <c r="D56" i="80"/>
  <c r="D53" i="80"/>
  <c r="D57" i="80"/>
  <c r="D54" i="80"/>
  <c r="D58" i="80"/>
  <c r="D55" i="80"/>
  <c r="D30" i="80"/>
  <c r="D43" i="80"/>
  <c r="D47" i="80"/>
  <c r="D48" i="80"/>
  <c r="D46" i="80"/>
  <c r="D27" i="80"/>
  <c r="D31" i="80"/>
  <c r="D28" i="80"/>
  <c r="D32" i="80"/>
  <c r="D29" i="80"/>
  <c r="D18" i="80"/>
  <c r="D19" i="80"/>
  <c r="C18" i="80"/>
  <c r="C20" i="80"/>
  <c r="F19" i="80" l="1"/>
  <c r="F45" i="80"/>
  <c r="F65" i="80"/>
  <c r="F55" i="80"/>
  <c r="F29" i="80"/>
  <c r="F44" i="80"/>
  <c r="F28" i="80"/>
  <c r="F54" i="80"/>
  <c r="F18" i="80"/>
  <c r="F64" i="80"/>
  <c r="F49" i="80"/>
  <c r="C17" i="80"/>
  <c r="F59" i="80" l="1"/>
  <c r="F69" i="80"/>
  <c r="F33" i="80"/>
  <c r="F23" i="80"/>
  <c r="D98" i="8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7720E594-E517-41E2-91AF-5EC7240EDDB5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A727AFF8-764E-471B-AB52-E288C40F374E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385042FC-3BE3-44FD-874B-4DC0D676312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2862C684-2BF2-457A-8159-CA96E8E73E8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EEF49374-4673-467F-8403-0D89B5EE2135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657F26E5-7A36-48A9-AAAD-EB02E1AD375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F35F7ED3-C4D8-4CC3-8AED-F9FF70B83B89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BBE67D9A-3AA2-4EF9-A43C-C0F4C271168F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72DA391D-B1C9-4617-A05C-332F7FD8BA6B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47C282D5-FFC7-42AF-82AD-D21FE785DE23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603010BF-DBEB-44E1-8054-17C7257D72DE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1BDA0E10-9BE2-4D86-BC35-03F91322FD01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<sst xmlns="http://schemas.openxmlformats.org/spreadsheetml/2006/main" count="2571" uniqueCount="259">
  <si>
    <t>부가세</t>
    <phoneticPr fontId="3" type="noConversion"/>
  </si>
  <si>
    <t>전력기금</t>
    <phoneticPr fontId="3" type="noConversion"/>
  </si>
  <si>
    <t>합계</t>
    <phoneticPr fontId="3" type="noConversion"/>
  </si>
  <si>
    <t>요금</t>
    <phoneticPr fontId="3" type="noConversion"/>
  </si>
  <si>
    <t>공동전기</t>
    <phoneticPr fontId="3" type="noConversion"/>
  </si>
  <si>
    <t>납부액</t>
    <phoneticPr fontId="3" type="noConversion"/>
  </si>
  <si>
    <t>엘리베이터관리비</t>
    <phoneticPr fontId="3" type="noConversion"/>
  </si>
  <si>
    <t>전기안전관리</t>
    <phoneticPr fontId="2" type="noConversion"/>
  </si>
  <si>
    <t>총  합계</t>
    <phoneticPr fontId="2" type="noConversion"/>
  </si>
  <si>
    <t>청소비</t>
    <phoneticPr fontId="2" type="noConversion"/>
  </si>
  <si>
    <t>소방안전관리비</t>
    <phoneticPr fontId="2" type="noConversion"/>
  </si>
  <si>
    <t>101호</t>
    <phoneticPr fontId="2" type="noConversion"/>
  </si>
  <si>
    <t>안전관리비</t>
    <phoneticPr fontId="3" type="noConversion"/>
  </si>
  <si>
    <t>102호</t>
    <phoneticPr fontId="2" type="noConversion"/>
  </si>
  <si>
    <t>201호</t>
    <phoneticPr fontId="2" type="noConversion"/>
  </si>
  <si>
    <t>402호</t>
    <phoneticPr fontId="2" type="noConversion"/>
  </si>
  <si>
    <t>면적 : 22.86평</t>
    <phoneticPr fontId="3" type="noConversion"/>
  </si>
  <si>
    <t>면적 : 24평</t>
    <phoneticPr fontId="3" type="noConversion"/>
  </si>
  <si>
    <t>면적 : 14.35평</t>
    <phoneticPr fontId="3" type="noConversion"/>
  </si>
  <si>
    <t>면적 : 51평</t>
    <phoneticPr fontId="3" type="noConversion"/>
  </si>
  <si>
    <t>총면적 : 605평</t>
    <phoneticPr fontId="3" type="noConversion"/>
  </si>
  <si>
    <t>요금합계</t>
    <phoneticPr fontId="3" type="noConversion"/>
  </si>
  <si>
    <t>수도요금</t>
  </si>
  <si>
    <t>103호</t>
    <phoneticPr fontId="2" type="noConversion"/>
  </si>
  <si>
    <t>면적 : 24평</t>
    <phoneticPr fontId="3" type="noConversion"/>
  </si>
  <si>
    <t>안전관리비</t>
    <phoneticPr fontId="3" type="noConversion"/>
  </si>
  <si>
    <t>105호</t>
    <phoneticPr fontId="2" type="noConversion"/>
  </si>
  <si>
    <t>면적 : 14평</t>
    <phoneticPr fontId="3" type="noConversion"/>
  </si>
  <si>
    <t>107호</t>
    <phoneticPr fontId="2" type="noConversion"/>
  </si>
  <si>
    <t>호수</t>
    <phoneticPr fontId="3" type="noConversion"/>
  </si>
  <si>
    <t>구분</t>
    <phoneticPr fontId="3" type="noConversion"/>
  </si>
  <si>
    <t>면적 : 99평</t>
    <phoneticPr fontId="3" type="noConversion"/>
  </si>
  <si>
    <t>공동전기 요금 합계</t>
    <phoneticPr fontId="3" type="noConversion"/>
  </si>
  <si>
    <t>안전관리 합계</t>
    <phoneticPr fontId="3" type="noConversion"/>
  </si>
  <si>
    <t>104호</t>
    <phoneticPr fontId="3" type="noConversion"/>
  </si>
  <si>
    <t>수도요금</t>
    <phoneticPr fontId="2" type="noConversion"/>
  </si>
  <si>
    <t>202호</t>
    <phoneticPr fontId="2" type="noConversion"/>
  </si>
  <si>
    <t>면적 : 59평</t>
    <phoneticPr fontId="3" type="noConversion"/>
  </si>
  <si>
    <t>301호</t>
    <phoneticPr fontId="2" type="noConversion"/>
  </si>
  <si>
    <t>면적 : 52평</t>
    <phoneticPr fontId="3" type="noConversion"/>
  </si>
  <si>
    <t>302호</t>
    <phoneticPr fontId="2" type="noConversion"/>
  </si>
  <si>
    <t>303호</t>
    <phoneticPr fontId="2" type="noConversion"/>
  </si>
  <si>
    <t>면적 : 47평</t>
    <phoneticPr fontId="3" type="noConversion"/>
  </si>
  <si>
    <t>401호</t>
    <phoneticPr fontId="2" type="noConversion"/>
  </si>
  <si>
    <t>403호</t>
    <phoneticPr fontId="2" type="noConversion"/>
  </si>
  <si>
    <t>임대인</t>
    <phoneticPr fontId="2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</si>
  <si>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</si>
  <si>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</si>
  <si>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</si>
  <si>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</si>
  <si>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청소용역비</t>
    <phoneticPr fontId="2" type="noConversion"/>
  </si>
  <si>
    <t>공동전기 청구내역</t>
    <phoneticPr fontId="3" type="noConversion"/>
  </si>
  <si>
    <t>공동전기요금 단가 : 합계요금 ÷ 사용면적</t>
    <phoneticPr fontId="3" type="noConversion"/>
  </si>
  <si>
    <t>안전관리비 단가 : 합계요금 ÷ 사용면적</t>
    <phoneticPr fontId="3" type="noConversion"/>
  </si>
  <si>
    <t>청소용역비 단가 : 요금 ÷ 사용면적</t>
    <phoneticPr fontId="3" type="noConversion"/>
  </si>
  <si>
    <t>알림/비고</t>
    <phoneticPr fontId="3" type="noConversion"/>
  </si>
  <si>
    <t>주공프라자</t>
    <phoneticPr fontId="3" type="noConversion"/>
  </si>
  <si>
    <t>관리비입금계좌 :  새마을금고 / 9003-2453-9993-7 / 박경희</t>
    <phoneticPr fontId="3" type="noConversion"/>
  </si>
  <si>
    <t>건물 일반 수선비</t>
    <phoneticPr fontId="3" type="noConversion"/>
  </si>
  <si>
    <t>건물 공동전기 수선비</t>
    <phoneticPr fontId="2" type="noConversion"/>
  </si>
  <si>
    <t>건물 엘리베이터 수선비</t>
    <phoneticPr fontId="3" type="noConversion"/>
  </si>
  <si>
    <t>건물 소방 수선비</t>
    <phoneticPr fontId="3" type="noConversion"/>
  </si>
  <si>
    <t>일반 수선비 단가 : 합계요금 ÷ 사용면적</t>
    <phoneticPr fontId="3" type="noConversion"/>
  </si>
  <si>
    <t>공동전기 수선비 단가 : 합계요금 ÷ 사용면적</t>
    <phoneticPr fontId="3" type="noConversion"/>
  </si>
  <si>
    <t>엘리베이터 수선비 단가 : 요금 ÷ 사용면적</t>
    <phoneticPr fontId="3" type="noConversion"/>
  </si>
  <si>
    <t>소방 수선비 단가 : 요금 ÷ 사용면적</t>
    <phoneticPr fontId="3" type="noConversion"/>
  </si>
  <si>
    <t>박창희</t>
    <phoneticPr fontId="3" type="noConversion"/>
  </si>
  <si>
    <t>박용희</t>
    <phoneticPr fontId="3" type="noConversion"/>
  </si>
  <si>
    <t>관리 평수</t>
    <phoneticPr fontId="3" type="noConversion"/>
  </si>
  <si>
    <t>103호</t>
    <phoneticPr fontId="2" type="noConversion"/>
  </si>
  <si>
    <t>105호</t>
    <phoneticPr fontId="3" type="noConversion"/>
  </si>
  <si>
    <t>301호</t>
    <phoneticPr fontId="3" type="noConversion"/>
  </si>
  <si>
    <t>401호</t>
    <phoneticPr fontId="3" type="noConversion"/>
  </si>
  <si>
    <t>요금</t>
    <phoneticPr fontId="3" type="noConversion"/>
  </si>
  <si>
    <t>구분</t>
    <phoneticPr fontId="3" type="noConversion"/>
  </si>
  <si>
    <t>요금</t>
    <phoneticPr fontId="3" type="noConversion"/>
  </si>
  <si>
    <t>납부액</t>
    <phoneticPr fontId="3" type="noConversion"/>
  </si>
  <si>
    <t>박경희</t>
    <phoneticPr fontId="3" type="noConversion"/>
  </si>
  <si>
    <t>박경자</t>
    <phoneticPr fontId="3" type="noConversion"/>
  </si>
  <si>
    <t>총면적 :
82평</t>
    <phoneticPr fontId="3" type="noConversion"/>
  </si>
  <si>
    <t>102호</t>
    <phoneticPr fontId="2" type="noConversion"/>
  </si>
  <si>
    <t>106호</t>
    <phoneticPr fontId="3" type="noConversion"/>
  </si>
  <si>
    <t>104호</t>
    <phoneticPr fontId="2" type="noConversion"/>
  </si>
  <si>
    <t>107호</t>
    <phoneticPr fontId="3" type="noConversion"/>
  </si>
  <si>
    <t>303호</t>
    <phoneticPr fontId="3" type="noConversion"/>
  </si>
  <si>
    <t>402호</t>
    <phoneticPr fontId="3" type="noConversion"/>
  </si>
  <si>
    <t>202호</t>
    <phoneticPr fontId="3" type="noConversion"/>
  </si>
  <si>
    <t>영어학원</t>
    <phoneticPr fontId="3" type="noConversion"/>
  </si>
  <si>
    <t>201호</t>
    <phoneticPr fontId="2" type="noConversion"/>
  </si>
  <si>
    <t>총면적 :
99평</t>
    <phoneticPr fontId="3" type="noConversion"/>
  </si>
  <si>
    <t>건물 수선비 내역</t>
    <phoneticPr fontId="2" type="noConversion"/>
  </si>
  <si>
    <t>건물 수선비 청구내역</t>
    <phoneticPr fontId="3" type="noConversion"/>
  </si>
  <si>
    <t>총면적 :
142평</t>
    <phoneticPr fontId="3" type="noConversion"/>
  </si>
  <si>
    <t>총면적 :
136평</t>
    <phoneticPr fontId="3" type="noConversion"/>
  </si>
  <si>
    <t>총면적 :
145.35평</t>
    <phoneticPr fontId="3" type="noConversion"/>
  </si>
  <si>
    <t>302호</t>
    <phoneticPr fontId="3" type="noConversion"/>
  </si>
  <si>
    <t>403호</t>
    <phoneticPr fontId="3" type="noConversion"/>
  </si>
  <si>
    <t>일반관리비</t>
    <phoneticPr fontId="3" type="noConversion"/>
  </si>
  <si>
    <t>일반관리비</t>
    <phoneticPr fontId="2" type="noConversion"/>
  </si>
  <si>
    <t>일반관리비 단가 : 요금 ÷ 사용면적</t>
    <phoneticPr fontId="3" type="noConversion"/>
  </si>
  <si>
    <t>수선충당금</t>
    <phoneticPr fontId="2" type="noConversion"/>
  </si>
  <si>
    <t>수선충당금 단가 : 요금 ÷ 사용면적</t>
    <phoneticPr fontId="3" type="noConversion"/>
  </si>
  <si>
    <t>106호</t>
    <phoneticPr fontId="2" type="noConversion"/>
  </si>
  <si>
    <t>402호</t>
    <phoneticPr fontId="2" type="noConversion"/>
  </si>
  <si>
    <t>403호</t>
    <phoneticPr fontId="2" type="noConversion"/>
  </si>
  <si>
    <t>임대인</t>
    <phoneticPr fontId="2" type="noConversion"/>
  </si>
  <si>
    <t>수도</t>
    <phoneticPr fontId="2" type="noConversion"/>
  </si>
  <si>
    <t>수선</t>
    <phoneticPr fontId="2" type="noConversion"/>
  </si>
  <si>
    <t>상호</t>
    <phoneticPr fontId="2" type="noConversion"/>
  </si>
  <si>
    <t>102호</t>
  </si>
  <si>
    <t>103호</t>
  </si>
  <si>
    <t>104호</t>
  </si>
  <si>
    <t>105호</t>
  </si>
  <si>
    <t>106호</t>
  </si>
  <si>
    <t>107호</t>
  </si>
  <si>
    <t>202호</t>
  </si>
  <si>
    <t>302호</t>
  </si>
  <si>
    <t>303호</t>
  </si>
  <si>
    <t>402호</t>
  </si>
  <si>
    <t>403호</t>
  </si>
  <si>
    <t>번호</t>
    <phoneticPr fontId="2" type="noConversion"/>
  </si>
  <si>
    <t>1월</t>
    <phoneticPr fontId="2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</si>
  <si>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</si>
  <si>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</si>
  <si>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</si>
  <si>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</si>
  <si>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</si>
  <si>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</si>
  <si>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</si>
  <si>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</si>
  <si>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</si>
  <si>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</si>
  <si>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</si>
  <si>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상가관리비 세금계산서 합계</t>
    <phoneticPr fontId="2" type="noConversion"/>
  </si>
  <si>
    <t>수도료</t>
    <phoneticPr fontId="2" type="noConversion"/>
  </si>
  <si>
    <t>관리비 중간 정산 내역</t>
    <phoneticPr fontId="2" type="noConversion"/>
  </si>
  <si>
    <t>정산기간 : 2020. 06. 12 ~ 2020. 06. 18</t>
    <phoneticPr fontId="3" type="noConversion"/>
  </si>
  <si>
    <t>납 부 액</t>
    <phoneticPr fontId="3" type="noConversion"/>
  </si>
  <si>
    <t>경기도 남양주시 가운로2길 49</t>
    <phoneticPr fontId="3" type="noConversion"/>
  </si>
  <si>
    <t>승강기협회 점검비</t>
    <phoneticPr fontId="2" type="noConversion"/>
  </si>
  <si>
    <t>밀피지기</t>
    <phoneticPr fontId="2" type="noConversion"/>
  </si>
  <si>
    <t>경희@2918</t>
    <phoneticPr fontId="2" type="noConversion"/>
  </si>
  <si>
    <t>전기요금계</t>
    <phoneticPr fontId="3" type="noConversion"/>
  </si>
  <si>
    <t>전기요금계</t>
    <phoneticPr fontId="2" type="noConversion"/>
  </si>
  <si>
    <t>전기안전관리</t>
    <phoneticPr fontId="3" type="noConversion"/>
  </si>
  <si>
    <t>소방안전관리비</t>
    <phoneticPr fontId="3" type="noConversion"/>
  </si>
  <si>
    <t>수도요금</t>
    <phoneticPr fontId="3" type="noConversion"/>
  </si>
  <si>
    <t>청소용역비</t>
    <phoneticPr fontId="3" type="noConversion"/>
  </si>
  <si>
    <t>총  합계</t>
    <phoneticPr fontId="3" type="noConversion"/>
  </si>
  <si>
    <t>요금합계</t>
    <phoneticPr fontId="2" type="noConversion"/>
  </si>
  <si>
    <t>부가세</t>
    <phoneticPr fontId="2" type="noConversion"/>
  </si>
  <si>
    <t>전력기금</t>
    <phoneticPr fontId="2" type="noConversion"/>
  </si>
  <si>
    <t>공동전기 요금 합계</t>
    <phoneticPr fontId="2" type="noConversion"/>
  </si>
  <si>
    <t>엘리베이터관리비</t>
    <phoneticPr fontId="2" type="noConversion"/>
  </si>
  <si>
    <t>안전관리 합계</t>
    <phoneticPr fontId="2" type="noConversion"/>
  </si>
  <si>
    <t>비  고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</si>
  <si>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2022년 05월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왜 굳이 의미를 찾으려 하는가? 
인생은 욕망이지, 의미가 아니다.</t>
    </r>
    <phoneticPr fontId="2" type="noConversion"/>
  </si>
  <si>
    <t>엘베비상전화</t>
    <phoneticPr fontId="3" type="noConversion"/>
  </si>
  <si>
    <t>엘베전화요금</t>
    <phoneticPr fontId="3" type="noConversion"/>
  </si>
  <si>
    <t>승강기비상전화</t>
    <phoneticPr fontId="3" type="noConversion"/>
  </si>
  <si>
    <t>수도요금차액</t>
    <phoneticPr fontId="3" type="noConversion"/>
  </si>
  <si>
    <t>산출방법은  D1  에서  D17 까지 계산금액과 + J22에 있는 수선충당금을 합치면 D18에 있는 청구 금액이 됩니다..</t>
    <phoneticPr fontId="2" type="noConversion"/>
  </si>
  <si>
    <t>.</t>
    <phoneticPr fontId="3" type="noConversion"/>
  </si>
  <si>
    <t>엘리베이터보험</t>
    <phoneticPr fontId="3" type="noConversion"/>
  </si>
  <si>
    <t>화제보험</t>
    <phoneticPr fontId="3" type="noConversion"/>
  </si>
  <si>
    <t>지하LED등교환</t>
    <phoneticPr fontId="3" type="noConversion"/>
  </si>
  <si>
    <t>청구할것</t>
    <phoneticPr fontId="3" type="noConversion"/>
  </si>
  <si>
    <t xml:space="preserve"> </t>
    <phoneticPr fontId="3" type="noConversion"/>
  </si>
  <si>
    <t>승강기비상전화</t>
    <phoneticPr fontId="3" type="noConversion"/>
  </si>
  <si>
    <t>엘리베이터전화</t>
    <phoneticPr fontId="3" type="noConversion"/>
  </si>
  <si>
    <t>승강기전화</t>
    <phoneticPr fontId="3" type="noConversion"/>
  </si>
  <si>
    <t>소방교육비</t>
    <phoneticPr fontId="3" type="noConversion"/>
  </si>
  <si>
    <t>소방시설수리</t>
    <phoneticPr fontId="3" type="noConversion"/>
  </si>
  <si>
    <t>2회중1회</t>
    <phoneticPr fontId="3" type="noConversion"/>
  </si>
  <si>
    <t>엘베전화비</t>
    <phoneticPr fontId="3" type="noConversion"/>
  </si>
  <si>
    <t>2회중2회</t>
    <phoneticPr fontId="3" type="noConversion"/>
  </si>
  <si>
    <t>화장실막힘</t>
    <phoneticPr fontId="3" type="noConversion"/>
  </si>
  <si>
    <t>세면대 팝업</t>
    <phoneticPr fontId="3" type="noConversion"/>
  </si>
  <si>
    <t>2층변기수리등</t>
    <phoneticPr fontId="3" type="noConversion"/>
  </si>
  <si>
    <t>11월 청구할때 챙길껏</t>
    <phoneticPr fontId="3" type="noConversion"/>
  </si>
  <si>
    <t>하수도막힘</t>
    <phoneticPr fontId="3" type="noConversion"/>
  </si>
  <si>
    <t>청소용품비</t>
    <phoneticPr fontId="3" type="noConversion"/>
  </si>
  <si>
    <t>상반기소방정기점검</t>
    <phoneticPr fontId="3" type="noConversion"/>
  </si>
  <si>
    <t xml:space="preserve">2/2차중 1/2회차 </t>
    <phoneticPr fontId="3" type="noConversion"/>
  </si>
  <si>
    <t>엘리베이터전화</t>
  </si>
  <si>
    <t>2025년 05월 관리비 내역</t>
    <phoneticPr fontId="2" type="noConversion"/>
  </si>
  <si>
    <t>사용기간 : 2024.04.12 ~ 2024.05.11</t>
    <phoneticPr fontId="3" type="noConversion"/>
  </si>
  <si>
    <t xml:space="preserve">2/2차중 2/2회차 </t>
    <phoneticPr fontId="3" type="noConversion"/>
  </si>
  <si>
    <t>소방수리비</t>
    <phoneticPr fontId="2" type="noConversion"/>
  </si>
  <si>
    <t>2025년 01월 관리비 내역</t>
    <phoneticPr fontId="2" type="noConversion"/>
  </si>
  <si>
    <t>사용기간 : 2024.12.12 ~ 2025.01.11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</si>
  <si>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01월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rgb="FF00B050"/>
        <rFont val="맑은 고딕"/>
        <family val="3"/>
        <charset val="129"/>
        <scheme val="major"/>
      </rPr>
      <t>"계획을 세워놓는 일만으로 
이끌어낼 수 있는 일은 하나도 없다."</t>
    </r>
    <phoneticPr fontId="2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</si>
  <si>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02월 28일 까지 입니다.
</t>
    </r>
    <r>
      <rPr>
        <sz val="12"/>
        <rFont val="맑은 고딕"/>
        <family val="3"/>
        <charset val="129"/>
        <scheme val="major"/>
      </rPr>
      <t xml:space="preserve">전기요금이 많이 인상 되고 있습니다..
</t>
    </r>
    <r>
      <rPr>
        <sz val="12"/>
        <color rgb="FF00B0F0"/>
        <rFont val="맑은 고딕"/>
        <family val="3"/>
        <charset val="129"/>
        <scheme val="major"/>
      </rPr>
      <t xml:space="preserve">"우연이 아닌 선택이 운명을 결정한다." </t>
    </r>
    <phoneticPr fontId="2" type="noConversion"/>
  </si>
  <si>
    <t>2025년 02월 관리비 내역</t>
    <phoneticPr fontId="2" type="noConversion"/>
  </si>
  <si>
    <t>사용기간 : 2025.01.12 ~ 2025.02.11</t>
    <phoneticPr fontId="3" type="noConversion"/>
  </si>
  <si>
    <t>2025년 03월 관리비 내역</t>
    <phoneticPr fontId="2" type="noConversion"/>
  </si>
  <si>
    <t>사용기간 : 2025.02.12 ~ 2025.03.11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</si>
  <si>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03월 31일 까지 입니다.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가장 현명한 사람은 자신만의 방향을 따른다.</t>
    </r>
    <phoneticPr fontId="2" type="noConversion"/>
  </si>
  <si>
    <t>2025년 04월 관리비 내역</t>
    <phoneticPr fontId="2" type="noConversion"/>
  </si>
  <si>
    <t>사용기간 : 2025.03.12 ~ 2025.04.11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</si>
  <si>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04월 30일 까지 입니다.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너무 멀리 갈 위험을 감수하는 자만이 얼마나 멀리 갈 수 있는 지 알 수 있다</t>
    </r>
    <phoneticPr fontId="2" type="noConversion"/>
  </si>
  <si>
    <t>2025년 06월 관리비 내역</t>
    <phoneticPr fontId="2" type="noConversion"/>
  </si>
  <si>
    <t>사용기간 : 2025.05.12 ~ 2025.06.11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</si>
  <si>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06월 30일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인내할 수 있는 사람은 그가 바라는 것은 
무엇이든지 손에 넣을 수 있다.</t>
    </r>
    <phoneticPr fontId="2" type="noConversion"/>
  </si>
  <si>
    <t>2025년 07월 관리비 내역</t>
    <phoneticPr fontId="2" type="noConversion"/>
  </si>
  <si>
    <t>사용기간 : 2025.06.12 ~ 2025.07.11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</si>
  <si>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07월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8" tint="-0.499984740745262"/>
        <rFont val="맑은 고딕"/>
        <family val="3"/>
        <charset val="129"/>
        <scheme val="major"/>
      </rPr>
      <t>운명은 우연이 아닌, 선택이다. 
기다리는 것이 아니라, 성취하는 것이다.</t>
    </r>
    <phoneticPr fontId="2" type="noConversion"/>
  </si>
  <si>
    <t>사용기간 : 2025.07.12 ~ 2025.08.11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</si>
  <si>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08월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rgb="FF00B050"/>
        <rFont val="맑은 고딕"/>
        <family val="3"/>
        <charset val="129"/>
        <scheme val="major"/>
      </rPr>
      <t>인생에서 실패한 사람 중 다수는 
성공을 목전에 두고도 모른 채 포기한 이들이다.</t>
    </r>
    <phoneticPr fontId="2" type="noConversion"/>
  </si>
  <si>
    <t>2025년 09월 관리비 내역</t>
    <phoneticPr fontId="2" type="noConversion"/>
  </si>
  <si>
    <t>사용기간 : 2025.08.12 ~ 2025.09.11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</si>
  <si>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09월 30일 까지 입니다.
</t>
    </r>
    <r>
      <rPr>
        <sz val="12"/>
        <color theme="4" tint="-0.499984740745262"/>
        <rFont val="맑은 고딕"/>
        <family val="3"/>
        <charset val="129"/>
        <scheme val="major"/>
      </rPr>
      <t xml:space="preserve">
사람은 쉽게 변하지 않는다.
사람은 고쳐 쓰는 게 아니라는 말이 있듯이 구태여 그 사람을 내가 변화시키려고 애쓰지 않아도 된다.</t>
    </r>
    <phoneticPr fontId="2" type="noConversion"/>
  </si>
  <si>
    <t>2025년 10월 관리비 내역</t>
    <phoneticPr fontId="2" type="noConversion"/>
  </si>
  <si>
    <t>사용기간 : 2025.09.12 ~ 2025.10.11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</si>
  <si>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10월 31일 까지 입니다.
</t>
    </r>
    <r>
      <rPr>
        <sz val="12"/>
        <rFont val="맑은 고딕"/>
        <family val="3"/>
        <charset val="129"/>
        <scheme val="major"/>
      </rPr>
      <t xml:space="preserve">
삶이 있는 한 희망은 있다.
While there's life, there's hope.</t>
    </r>
    <phoneticPr fontId="2" type="noConversion"/>
  </si>
  <si>
    <t>2025년 11월 관리비 내역</t>
    <phoneticPr fontId="2" type="noConversion"/>
  </si>
  <si>
    <t>사용기간 : 2025.10.12 ~ 2025.11.11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</si>
  <si>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11월 30일 까지 입니다.
</t>
    </r>
    <r>
      <rPr>
        <sz val="12"/>
        <color theme="4" tint="-0.249977111117893"/>
        <rFont val="맑은 고딕"/>
        <family val="3"/>
        <charset val="129"/>
        <scheme val="major"/>
      </rPr>
      <t>이 세상에 위대한 사람은 없다. 단지 평범한 
사람들이 일어나 맞서는 위대한 도전이 있을 뿐이다.</t>
    </r>
    <phoneticPr fontId="2" type="noConversion"/>
  </si>
  <si>
    <t>2025년 12월 관리비 내역</t>
    <phoneticPr fontId="2" type="noConversion"/>
  </si>
  <si>
    <t>사용기간 : 2025.11.12 ~ 2025.12.11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</si>
  <si>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12월 31일 까지 입니다.</t>
    </r>
    <r>
      <rPr>
        <sz val="12"/>
        <rFont val="맑은 고딕"/>
        <family val="3"/>
        <charset val="129"/>
        <scheme val="major"/>
      </rPr>
      <t xml:space="preserve">
작은 변화가 일어날 때 진정한 삶을 살게 된다.</t>
    </r>
    <phoneticPr fontId="2" type="noConversion"/>
  </si>
  <si>
    <t>승강기수리</t>
    <phoneticPr fontId="3" type="noConversion"/>
  </si>
  <si>
    <t>5회차중4회차</t>
    <phoneticPr fontId="3" type="noConversion"/>
  </si>
  <si>
    <t>승강기수리비</t>
    <phoneticPr fontId="3" type="noConversion"/>
  </si>
  <si>
    <t>5회차중5회차</t>
    <phoneticPr fontId="3" type="noConversion"/>
  </si>
  <si>
    <t>염화칼슘</t>
    <phoneticPr fontId="2" type="noConversion"/>
  </si>
  <si>
    <t>일반청소용품</t>
    <phoneticPr fontId="2" type="noConversion"/>
  </si>
  <si>
    <t xml:space="preserve">수도 청구요금 </t>
    <phoneticPr fontId="2" type="noConversion"/>
  </si>
  <si>
    <t>ㅡ</t>
    <phoneticPr fontId="2" type="noConversion"/>
  </si>
  <si>
    <t>덜받음</t>
    <phoneticPr fontId="2" type="noConversion"/>
  </si>
  <si>
    <t>소방안전협회비</t>
    <phoneticPr fontId="2" type="noConversion"/>
  </si>
  <si>
    <t>마이크로스위치교환</t>
    <phoneticPr fontId="2" type="noConversion"/>
  </si>
  <si>
    <t xml:space="preserve">101호 </t>
    <phoneticPr fontId="2" type="noConversion"/>
  </si>
  <si>
    <t>3월11일</t>
    <phoneticPr fontId="2" type="noConversion"/>
  </si>
  <si>
    <t>이사정산</t>
    <phoneticPr fontId="2" type="noConversion"/>
  </si>
  <si>
    <t xml:space="preserve">둘다 4월부터 </t>
    <phoneticPr fontId="2" type="noConversion"/>
  </si>
  <si>
    <t>주인이</t>
    <phoneticPr fontId="2" type="noConversion"/>
  </si>
  <si>
    <t>납부</t>
    <phoneticPr fontId="2" type="noConversion"/>
  </si>
  <si>
    <t>빨간글씨 지울것</t>
    <phoneticPr fontId="2" type="noConversion"/>
  </si>
  <si>
    <t>엘리베이터수리</t>
    <phoneticPr fontId="2" type="noConversion"/>
  </si>
  <si>
    <t>수도요금부족분</t>
    <phoneticPr fontId="3" type="noConversion"/>
  </si>
  <si>
    <t>엘리베이터수리</t>
  </si>
  <si>
    <t>단차 정지문제</t>
    <phoneticPr fontId="3" type="noConversion"/>
  </si>
  <si>
    <t>기타관리용품</t>
    <phoneticPr fontId="3" type="noConversion"/>
  </si>
  <si>
    <t>전달차액</t>
    <phoneticPr fontId="3" type="noConversion"/>
  </si>
  <si>
    <t>기타경비로처리</t>
    <phoneticPr fontId="3" type="noConversion"/>
  </si>
  <si>
    <t xml:space="preserve">소방정기검사 </t>
    <phoneticPr fontId="3" type="noConversion"/>
  </si>
  <si>
    <t>엘리베이터통신</t>
    <phoneticPr fontId="3" type="noConversion"/>
  </si>
  <si>
    <t>수도공사부속</t>
    <phoneticPr fontId="3" type="noConversion"/>
  </si>
  <si>
    <t>세면대부속4층</t>
    <phoneticPr fontId="3" type="noConversion"/>
  </si>
  <si>
    <t>엘베통신요금</t>
    <phoneticPr fontId="3" type="noConversion"/>
  </si>
  <si>
    <t>대우철물변기등</t>
    <phoneticPr fontId="3" type="noConversion"/>
  </si>
  <si>
    <t xml:space="preserve">대우철물 </t>
    <phoneticPr fontId="3" type="noConversion"/>
  </si>
  <si>
    <t xml:space="preserve">4층 변기 부레교환등 </t>
    <phoneticPr fontId="3" type="noConversion"/>
  </si>
  <si>
    <t xml:space="preserve">수도세 85,000 </t>
    <phoneticPr fontId="3" type="noConversion"/>
  </si>
  <si>
    <t xml:space="preserve">소방전기 2명 </t>
    <phoneticPr fontId="3" type="noConversion"/>
  </si>
  <si>
    <t xml:space="preserve">부자제별도 </t>
    <phoneticPr fontId="3" type="noConversion"/>
  </si>
  <si>
    <t>소방이행완료전기</t>
    <phoneticPr fontId="3" type="noConversion"/>
  </si>
  <si>
    <t>2025년 01월-06월 관리비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</si>
</sst>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20"/>
      <name val="돋움"/>
      <family val="3"/>
      <charset val="129"/>
    </font>
    <font>
      <b/>
      <sz val="12"/>
      <color rgb="FFFF0000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14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2"/>
      <color rgb="FF00B050"/>
      <name val="맑은 고딕"/>
      <family val="3"/>
      <charset val="129"/>
      <scheme val="major"/>
    </font>
    <font>
      <sz val="12"/>
      <color rgb="FF00B0F0"/>
      <name val="맑은 고딕"/>
      <family val="3"/>
      <charset val="129"/>
      <scheme val="major"/>
    </font>
    <font>
      <sz val="12"/>
      <color theme="3" tint="0.39997558519241921"/>
      <name val="맑은 고딕"/>
      <family val="3"/>
      <charset val="129"/>
      <scheme val="major"/>
    </font>
    <font>
      <sz val="12"/>
      <color theme="8" tint="-0.499984740745262"/>
      <name val="맑은 고딕"/>
      <family val="3"/>
      <charset val="129"/>
      <scheme val="major"/>
    </font>
    <font>
      <sz val="12"/>
      <color theme="4" tint="-0.499984740745262"/>
      <name val="맑은 고딕"/>
      <family val="3"/>
      <charset val="129"/>
      <scheme val="major"/>
    </font>
    <font>
      <sz val="12"/>
      <color theme="4" tint="-0.24997711111789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3" borderId="0" xfId="0" applyFont="1" applyFill="1">
      <alignment vertical="center"/>
    </xf>
    <xf numFmtId="41" fontId="5" fillId="0" borderId="0" xfId="1" applyFont="1">
      <alignment vertical="center"/>
    </xf>
    <xf numFmtId="0" fontId="8" fillId="0" borderId="8" xfId="0" applyFont="1" applyBorder="1" applyAlignment="1">
      <alignment horizontal="center" vertical="center"/>
    </xf>
    <xf numFmtId="41" fontId="5" fillId="0" borderId="0" xfId="0" applyNumberFormat="1" applyFont="1">
      <alignment vertical="center"/>
    </xf>
    <xf numFmtId="41" fontId="6" fillId="3" borderId="1" xfId="1" applyFont="1" applyFill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4" xfId="0" applyFont="1" applyBorder="1">
      <alignment vertical="center"/>
    </xf>
    <xf numFmtId="3" fontId="6" fillId="0" borderId="4" xfId="0" applyNumberFormat="1" applyFont="1" applyBorder="1">
      <alignment vertical="center"/>
    </xf>
    <xf numFmtId="41" fontId="5" fillId="3" borderId="0" xfId="0" applyNumberFormat="1" applyFont="1" applyFill="1">
      <alignment vertical="center"/>
    </xf>
    <xf numFmtId="41" fontId="5" fillId="0" borderId="0" xfId="1" applyFont="1" applyBorder="1" applyAlignment="1">
      <alignment horizontal="right" vertical="center"/>
    </xf>
    <xf numFmtId="3" fontId="5" fillId="3" borderId="0" xfId="0" applyNumberFormat="1" applyFont="1" applyFill="1">
      <alignment vertical="center"/>
    </xf>
    <xf numFmtId="3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9" fillId="0" borderId="0" xfId="1" applyFont="1">
      <alignment vertical="center"/>
    </xf>
    <xf numFmtId="41" fontId="9" fillId="3" borderId="1" xfId="1" applyFont="1" applyFill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41" fontId="8" fillId="2" borderId="1" xfId="1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3" fontId="9" fillId="3" borderId="1" xfId="0" applyNumberFormat="1" applyFont="1" applyFill="1" applyBorder="1">
      <alignment vertical="center"/>
    </xf>
    <xf numFmtId="41" fontId="10" fillId="3" borderId="1" xfId="1" applyFont="1" applyFill="1" applyBorder="1" applyAlignment="1">
      <alignment vertical="center"/>
    </xf>
    <xf numFmtId="3" fontId="8" fillId="2" borderId="1" xfId="0" applyNumberFormat="1" applyFont="1" applyFill="1" applyBorder="1">
      <alignment vertical="center"/>
    </xf>
    <xf numFmtId="3" fontId="9" fillId="0" borderId="1" xfId="0" applyNumberFormat="1" applyFont="1" applyBorder="1" applyAlignment="1">
      <alignment horizontal="left" vertical="center" indent="1"/>
    </xf>
    <xf numFmtId="0" fontId="9" fillId="0" borderId="1" xfId="0" applyFont="1" applyBorder="1" applyAlignment="1">
      <alignment horizontal="left" vertical="center" indent="1"/>
    </xf>
    <xf numFmtId="41" fontId="9" fillId="0" borderId="1" xfId="1" applyFont="1" applyBorder="1">
      <alignment vertical="center"/>
    </xf>
    <xf numFmtId="41" fontId="8" fillId="0" borderId="1" xfId="1" applyFont="1" applyBorder="1" applyAlignment="1">
      <alignment horizontal="left" vertical="center"/>
    </xf>
    <xf numFmtId="41" fontId="12" fillId="0" borderId="1" xfId="1" applyFont="1" applyBorder="1" applyAlignment="1">
      <alignment vertical="center"/>
    </xf>
    <xf numFmtId="41" fontId="14" fillId="4" borderId="1" xfId="1" applyFont="1" applyFill="1" applyBorder="1">
      <alignment vertical="center"/>
    </xf>
    <xf numFmtId="41" fontId="7" fillId="0" borderId="0" xfId="1" applyFont="1">
      <alignment vertical="center"/>
    </xf>
    <xf numFmtId="41" fontId="15" fillId="0" borderId="0" xfId="1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1" fontId="5" fillId="0" borderId="1" xfId="1" applyFont="1" applyBorder="1">
      <alignment vertical="center"/>
    </xf>
    <xf numFmtId="43" fontId="5" fillId="0" borderId="0" xfId="0" applyNumberFormat="1" applyFont="1">
      <alignment vertical="center"/>
    </xf>
    <xf numFmtId="3" fontId="10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0" fontId="19" fillId="0" borderId="9" xfId="0" applyFont="1" applyBorder="1" applyAlignment="1">
      <alignment horizontal="center" vertical="center"/>
    </xf>
    <xf numFmtId="3" fontId="9" fillId="3" borderId="1" xfId="0" applyNumberFormat="1" applyFont="1" applyFill="1" applyBorder="1" applyProtection="1">
      <alignment vertical="center"/>
      <protection locked="0"/>
    </xf>
    <xf numFmtId="41" fontId="9" fillId="3" borderId="1" xfId="1" applyFont="1" applyFill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horizontal="center" vertical="center"/>
    </xf>
    <xf numFmtId="3" fontId="22" fillId="0" borderId="1" xfId="0" applyNumberFormat="1" applyFont="1" applyBorder="1" applyAlignment="1">
      <alignment horizontal="left" vertical="center" indent="1"/>
    </xf>
    <xf numFmtId="41" fontId="22" fillId="0" borderId="1" xfId="1" applyFont="1" applyBorder="1">
      <alignment vertical="center"/>
    </xf>
    <xf numFmtId="41" fontId="22" fillId="3" borderId="1" xfId="1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indent="1"/>
    </xf>
    <xf numFmtId="41" fontId="22" fillId="0" borderId="1" xfId="1" applyFont="1" applyBorder="1" applyAlignment="1">
      <alignment horizontal="center" vertical="center"/>
    </xf>
    <xf numFmtId="0" fontId="21" fillId="0" borderId="8" xfId="0" applyFont="1" applyBorder="1">
      <alignment vertical="center"/>
    </xf>
    <xf numFmtId="41" fontId="22" fillId="3" borderId="1" xfId="1" applyFont="1" applyFill="1" applyBorder="1" applyAlignment="1" applyProtection="1">
      <alignment horizontal="center" vertical="center"/>
      <protection locked="0"/>
    </xf>
    <xf numFmtId="0" fontId="21" fillId="0" borderId="5" xfId="0" applyFont="1" applyBorder="1">
      <alignment vertical="center"/>
    </xf>
    <xf numFmtId="41" fontId="21" fillId="2" borderId="1" xfId="1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0" fontId="25" fillId="0" borderId="0" xfId="2">
      <alignment vertical="center"/>
    </xf>
    <xf numFmtId="41" fontId="5" fillId="0" borderId="0" xfId="1" applyFont="1" applyProtection="1">
      <alignment vertical="center"/>
      <protection locked="0"/>
    </xf>
    <xf numFmtId="41" fontId="10" fillId="3" borderId="1" xfId="1" applyFont="1" applyFill="1" applyBorder="1" applyAlignment="1" applyProtection="1">
      <alignment vertical="center"/>
      <protection locked="0"/>
    </xf>
    <xf numFmtId="3" fontId="5" fillId="0" borderId="0" xfId="0" applyNumberFormat="1" applyFont="1">
      <alignment vertical="center"/>
    </xf>
    <xf numFmtId="43" fontId="11" fillId="0" borderId="0" xfId="0" applyNumberFormat="1" applyFont="1">
      <alignment vertical="center"/>
    </xf>
    <xf numFmtId="41" fontId="10" fillId="3" borderId="1" xfId="1" applyFont="1" applyFill="1" applyBorder="1" applyAlignment="1" applyProtection="1">
      <alignment vertical="center"/>
    </xf>
    <xf numFmtId="41" fontId="32" fillId="0" borderId="0" xfId="1" applyFont="1">
      <alignment vertical="center"/>
    </xf>
    <xf numFmtId="41" fontId="12" fillId="0" borderId="1" xfId="1" applyFont="1" applyBorder="1" applyAlignment="1" applyProtection="1">
      <alignment vertical="center"/>
      <protection locked="0"/>
    </xf>
    <xf numFmtId="3" fontId="33" fillId="0" borderId="1" xfId="0" applyNumberFormat="1" applyFont="1" applyBorder="1" applyAlignment="1">
      <alignment horizontal="center" vertical="center"/>
    </xf>
    <xf numFmtId="3" fontId="34" fillId="0" borderId="1" xfId="0" applyNumberFormat="1" applyFont="1" applyBorder="1" applyAlignment="1">
      <alignment horizontal="left" vertical="center" indent="1"/>
    </xf>
    <xf numFmtId="41" fontId="34" fillId="0" borderId="0" xfId="1" applyFont="1">
      <alignment vertical="center"/>
    </xf>
    <xf numFmtId="41" fontId="34" fillId="3" borderId="1" xfId="1" applyFont="1" applyFill="1" applyBorder="1" applyAlignment="1">
      <alignment horizontal="center" vertical="center"/>
    </xf>
    <xf numFmtId="0" fontId="34" fillId="0" borderId="1" xfId="0" applyFont="1" applyBorder="1" applyAlignment="1">
      <alignment horizontal="left" vertical="center" indent="1"/>
    </xf>
    <xf numFmtId="41" fontId="34" fillId="0" borderId="1" xfId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41" fontId="34" fillId="3" borderId="1" xfId="1" applyFont="1" applyFill="1" applyBorder="1" applyAlignment="1" applyProtection="1">
      <alignment horizontal="center" vertical="center"/>
      <protection locked="0"/>
    </xf>
    <xf numFmtId="3" fontId="13" fillId="0" borderId="9" xfId="0" applyNumberFormat="1" applyFont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3" fontId="14" fillId="4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0" fontId="11" fillId="0" borderId="12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15" xfId="0" applyFont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right" vertical="center"/>
      <protection locked="0"/>
    </xf>
    <xf numFmtId="3" fontId="14" fillId="4" borderId="2" xfId="0" applyNumberFormat="1" applyFont="1" applyFill="1" applyBorder="1" applyAlignment="1">
      <alignment horizontal="center" vertical="center"/>
    </xf>
    <xf numFmtId="3" fontId="14" fillId="4" borderId="4" xfId="0" applyNumberFormat="1" applyFont="1" applyFill="1" applyBorder="1" applyAlignment="1">
      <alignment horizontal="center" vertical="center"/>
    </xf>
    <xf numFmtId="3" fontId="14" fillId="4" borderId="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 indent="1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right" vertical="center" indent="1"/>
    </xf>
    <xf numFmtId="0" fontId="9" fillId="0" borderId="4" xfId="0" applyFont="1" applyBorder="1" applyAlignment="1">
      <alignment horizontal="right" vertical="center" indent="1"/>
    </xf>
    <xf numFmtId="0" fontId="9" fillId="0" borderId="3" xfId="0" applyFont="1" applyBorder="1" applyAlignment="1">
      <alignment horizontal="right" vertical="center" indent="1"/>
    </xf>
    <xf numFmtId="3" fontId="6" fillId="0" borderId="9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41" fontId="15" fillId="0" borderId="0" xfId="1" applyFont="1" applyAlignment="1">
      <alignment horizontal="center" vertical="center"/>
    </xf>
    <xf numFmtId="41" fontId="14" fillId="4" borderId="1" xfId="1" applyFont="1" applyFill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3" fontId="9" fillId="0" borderId="3" xfId="0" applyNumberFormat="1" applyFont="1" applyBorder="1" applyAlignment="1">
      <alignment horizontal="center" vertical="center"/>
    </xf>
    <xf numFmtId="41" fontId="9" fillId="0" borderId="2" xfId="0" applyNumberFormat="1" applyFont="1" applyBorder="1" applyAlignment="1">
      <alignment horizontal="center" vertical="center"/>
    </xf>
    <xf numFmtId="41" fontId="9" fillId="0" borderId="4" xfId="0" applyNumberFormat="1" applyFont="1" applyBorder="1" applyAlignment="1">
      <alignment horizontal="center" vertical="center"/>
    </xf>
    <xf numFmtId="41" fontId="9" fillId="0" borderId="3" xfId="0" applyNumberFormat="1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41" fontId="16" fillId="2" borderId="2" xfId="0" applyNumberFormat="1" applyFont="1" applyFill="1" applyBorder="1" applyAlignment="1">
      <alignment horizontal="center" vertical="center"/>
    </xf>
    <xf numFmtId="41" fontId="16" fillId="2" borderId="4" xfId="0" applyNumberFormat="1" applyFont="1" applyFill="1" applyBorder="1" applyAlignment="1">
      <alignment horizontal="center" vertical="center"/>
    </xf>
    <xf numFmtId="41" fontId="16" fillId="2" borderId="3" xfId="0" applyNumberFormat="1" applyFont="1" applyFill="1" applyBorder="1" applyAlignment="1">
      <alignment horizontal="center" vertical="center"/>
    </xf>
    <xf numFmtId="41" fontId="9" fillId="3" borderId="2" xfId="0" applyNumberFormat="1" applyFont="1" applyFill="1" applyBorder="1" applyAlignment="1">
      <alignment horizontal="center" vertical="center"/>
    </xf>
    <xf numFmtId="41" fontId="9" fillId="3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9" xfId="0" applyFont="1" applyBorder="1" applyAlignment="1">
      <alignment horizontal="left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colors>
    <mruColors>
      <color rgb="FFFF9900"/>
      <color rgb="FF29F72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504824</xdr:colOff>
      <xdr:row>28</xdr:row>
      <xdr:rowOff>85724</xdr:rowOff>
    </xdr:from>
    <xdr:to>
      <xdr:col>3</xdr:col>
      <xdr:colOff>380999</xdr:colOff>
      <xdr:row>33</xdr:row>
      <xdr:rowOff>209549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854AC37-F4CE-44C1-BFE9-69267D823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924" y="7448549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&#44221;&#55148;@29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50"/>
  <sheetViews>
    <sheetView zoomScaleNormal="100" workbookViewId="0">
      <selection activeCell="D12" sqref="D12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5" width="8.88671875" style="1"/>
    <col min="16" max="17" width="11.88671875" style="1" bestFit="1" customWidth="1"/>
    <col min="18" max="18" width="8.88671875" style="1"/>
    <col min="19" max="19" width="8.21875" style="1" bestFit="1" customWidth="1"/>
    <col min="20" max="20" width="11.88671875" style="1" bestFit="1" customWidth="1"/>
    <col min="21" max="21" width="7" style="1" bestFit="1" customWidth="1"/>
    <col min="22" max="22" width="11.88671875" style="1" bestFit="1" customWidth="1"/>
    <col min="23" max="16384" width="8.88671875" style="1"/>
  </cols>
  <sheetData>
    <row r="1" spans="1:22" ht="39.950000000000003" customHeight="1">
      <c r="A1" s="96" t="s">
        <v>189</v>
      </c>
      <c r="B1" s="96"/>
      <c r="C1" s="96"/>
      <c r="D1" s="96"/>
      <c r="E1" s="96"/>
      <c r="F1" s="96"/>
      <c r="G1" s="96"/>
      <c r="H1" s="96"/>
    </row>
    <row r="2" spans="1:22" ht="17.100000000000001" customHeight="1">
      <c r="A2" s="97" t="s">
        <v>51</v>
      </c>
      <c r="B2" s="98"/>
      <c r="C2" s="98"/>
      <c r="D2" s="99"/>
      <c r="E2" s="100" t="s">
        <v>190</v>
      </c>
      <c r="F2" s="100"/>
      <c r="G2" s="100"/>
      <c r="H2" s="100"/>
    </row>
    <row r="3" spans="1:22" ht="17.100000000000001" customHeight="1">
      <c r="A3" s="84" t="s">
        <v>142</v>
      </c>
      <c r="B3" s="84"/>
      <c r="C3" s="84"/>
      <c r="D3" s="48">
        <v>733508</v>
      </c>
      <c r="E3" s="95" t="s">
        <v>52</v>
      </c>
      <c r="F3" s="95"/>
      <c r="G3" s="95"/>
      <c r="H3" s="32">
        <f>ROUNDUP((D7/605)*110%,-1)</f>
        <v>1510</v>
      </c>
    </row>
    <row r="4" spans="1:22" ht="17.100000000000001" customHeight="1">
      <c r="A4" s="84" t="s">
        <v>21</v>
      </c>
      <c r="B4" s="84"/>
      <c r="C4" s="84"/>
      <c r="D4" s="26">
        <f>SUM(D3:D3)</f>
        <v>733508</v>
      </c>
      <c r="E4" s="95" t="s">
        <v>53</v>
      </c>
      <c r="F4" s="95"/>
      <c r="G4" s="95"/>
      <c r="H4" s="33">
        <f>ROUNDUP((SUM(D8:D10)/605)*110%,-1)</f>
        <v>860</v>
      </c>
    </row>
    <row r="5" spans="1:22" ht="17.100000000000001" customHeight="1">
      <c r="A5" s="84" t="s">
        <v>0</v>
      </c>
      <c r="B5" s="84"/>
      <c r="C5" s="84"/>
      <c r="D5" s="26">
        <f>D4*0.1</f>
        <v>73350.8</v>
      </c>
      <c r="E5" s="95" t="s">
        <v>54</v>
      </c>
      <c r="F5" s="95"/>
      <c r="G5" s="95"/>
      <c r="H5" s="33">
        <f>ROUNDUP((D14/619)*110%,-1)</f>
        <v>720</v>
      </c>
    </row>
    <row r="6" spans="1:22" ht="17.100000000000001" customHeight="1">
      <c r="A6" s="84" t="s">
        <v>1</v>
      </c>
      <c r="B6" s="84"/>
      <c r="C6" s="84"/>
      <c r="D6" s="48">
        <v>23470</v>
      </c>
      <c r="E6" s="95" t="s">
        <v>99</v>
      </c>
      <c r="F6" s="95"/>
      <c r="G6" s="95"/>
      <c r="H6" s="33">
        <f>ROUNDUP((D12/619)*110%,-1)</f>
        <v>1270</v>
      </c>
    </row>
    <row r="7" spans="1:22" ht="17.100000000000001" customHeight="1">
      <c r="A7" s="94" t="s">
        <v>32</v>
      </c>
      <c r="B7" s="94"/>
      <c r="C7" s="94"/>
      <c r="D7" s="28">
        <f>SUM(D4:D6)</f>
        <v>830328.8</v>
      </c>
      <c r="E7" s="95" t="s">
        <v>101</v>
      </c>
      <c r="F7" s="95"/>
      <c r="G7" s="95"/>
      <c r="H7" s="33">
        <v>800</v>
      </c>
    </row>
    <row r="8" spans="1:22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22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191</v>
      </c>
      <c r="F9" s="86"/>
      <c r="G9" s="86"/>
      <c r="H9" s="87"/>
      <c r="P9" s="41"/>
      <c r="S9" s="68"/>
      <c r="T9" s="68"/>
      <c r="U9" s="68"/>
    </row>
    <row r="10" spans="1:22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22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22" ht="17.100000000000001" customHeight="1">
      <c r="A12" s="84" t="s">
        <v>97</v>
      </c>
      <c r="B12" s="84"/>
      <c r="C12" s="84"/>
      <c r="D12" s="70">
        <v>710000</v>
      </c>
      <c r="E12" s="88"/>
      <c r="F12" s="89"/>
      <c r="G12" s="89"/>
      <c r="H12" s="90"/>
      <c r="T12" s="5"/>
    </row>
    <row r="13" spans="1:22" ht="17.100000000000001" customHeight="1">
      <c r="A13" s="84" t="s">
        <v>146</v>
      </c>
      <c r="B13" s="84"/>
      <c r="C13" s="84"/>
      <c r="D13" s="67">
        <v>157000</v>
      </c>
      <c r="E13" s="88"/>
      <c r="F13" s="89"/>
      <c r="G13" s="89"/>
      <c r="H13" s="90"/>
      <c r="J13" s="41"/>
      <c r="T13" s="5"/>
    </row>
    <row r="14" spans="1:22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  <c r="V14" s="41"/>
    </row>
    <row r="15" spans="1:22" ht="17.100000000000001" customHeight="1">
      <c r="A15" s="84"/>
      <c r="B15" s="84"/>
      <c r="C15" s="84"/>
      <c r="D15" s="27"/>
      <c r="E15" s="88"/>
      <c r="F15" s="89"/>
      <c r="G15" s="89"/>
      <c r="H15" s="90"/>
      <c r="V15" s="5"/>
    </row>
    <row r="16" spans="1:22" ht="17.100000000000001" customHeight="1">
      <c r="A16" s="84"/>
      <c r="B16" s="84"/>
      <c r="C16" s="84"/>
      <c r="D16" s="27"/>
      <c r="E16" s="88"/>
      <c r="F16" s="89"/>
      <c r="G16" s="89"/>
      <c r="H16" s="90"/>
      <c r="V16" s="68"/>
    </row>
    <row r="17" spans="1:24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24" s="25" customFormat="1" ht="20.100000000000001" customHeight="1">
      <c r="A18" s="83" t="s">
        <v>8</v>
      </c>
      <c r="B18" s="83"/>
      <c r="C18" s="83"/>
      <c r="D18" s="34">
        <f>SUM(D12:D17)+D7+D11+J22</f>
        <v>3053588.8</v>
      </c>
      <c r="E18" s="91"/>
      <c r="F18" s="92"/>
      <c r="G18" s="92"/>
      <c r="H18" s="93"/>
    </row>
    <row r="19" spans="1:24" ht="17.100000000000001" customHeight="1">
      <c r="A19" s="24"/>
      <c r="B19" s="24"/>
      <c r="C19" s="24"/>
      <c r="D19" s="3"/>
    </row>
    <row r="20" spans="1:24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24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3988750</v>
      </c>
      <c r="L21" s="5"/>
      <c r="N21" s="5">
        <f>D24+H24+D31+H31+D38+H38+D45+D55+H55+D65+H65+D72+D82+H82+D89</f>
        <v>157000</v>
      </c>
      <c r="O21" s="1" t="s">
        <v>106</v>
      </c>
      <c r="P21" s="5"/>
      <c r="Q21" s="41"/>
      <c r="S21" s="68">
        <f>D7+D11+D12+D13+D14</f>
        <v>2570328.7999999998</v>
      </c>
      <c r="T21" s="41"/>
      <c r="V21" s="41"/>
      <c r="X21" s="68"/>
    </row>
    <row r="22" spans="1:24" ht="18" customHeight="1">
      <c r="A22" s="15" t="s">
        <v>11</v>
      </c>
      <c r="B22" s="29" t="s">
        <v>4</v>
      </c>
      <c r="C22" s="16">
        <f>H3</f>
        <v>1510</v>
      </c>
      <c r="D22" s="17">
        <f>ROUNDUP(C22*22.86,-1)</f>
        <v>34520</v>
      </c>
      <c r="E22" s="15" t="s">
        <v>13</v>
      </c>
      <c r="F22" s="29" t="s">
        <v>4</v>
      </c>
      <c r="G22" s="16">
        <f>H3</f>
        <v>1510</v>
      </c>
      <c r="H22" s="22">
        <f>ROUNDUP(G22*24,-1)</f>
        <v>36240</v>
      </c>
      <c r="J22" s="5">
        <f>D27+H27+D34+H34+D41+H41+D48+D58+H58+D68+H68+D75+D85+H85+D92</f>
        <v>483260</v>
      </c>
      <c r="N22" s="5">
        <f>D27+H27+D34+H34+D41+H41+D48+D58+H58+D68+H68+D75+D85+H85+D92</f>
        <v>483260</v>
      </c>
      <c r="O22" s="1" t="s">
        <v>107</v>
      </c>
      <c r="Q22" s="5"/>
    </row>
    <row r="23" spans="1:24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24</v>
      </c>
      <c r="F23" s="30" t="s">
        <v>12</v>
      </c>
      <c r="G23" s="18">
        <f>H4</f>
        <v>860</v>
      </c>
      <c r="H23" s="17">
        <f>ROUNDUP(G23*24,-1)</f>
        <v>20640</v>
      </c>
      <c r="Q23" s="5"/>
    </row>
    <row r="24" spans="1:24" ht="18" customHeight="1">
      <c r="A24" s="19"/>
      <c r="B24" s="30" t="s">
        <v>22</v>
      </c>
      <c r="C24" s="37"/>
      <c r="D24" s="49">
        <v>18000</v>
      </c>
      <c r="E24" s="19"/>
      <c r="F24" s="30" t="s">
        <v>22</v>
      </c>
      <c r="G24" s="37"/>
      <c r="H24" s="49">
        <v>16000</v>
      </c>
    </row>
    <row r="25" spans="1:24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4" ht="18" customHeight="1">
      <c r="A26" s="19"/>
      <c r="B26" s="30" t="s">
        <v>98</v>
      </c>
      <c r="C26" s="18">
        <f>H6</f>
        <v>1270</v>
      </c>
      <c r="D26" s="17">
        <f>ROUND(C26*22.86,-1)</f>
        <v>29030</v>
      </c>
      <c r="E26" s="19"/>
      <c r="F26" s="30" t="s">
        <v>98</v>
      </c>
      <c r="G26" s="18">
        <f>H6</f>
        <v>1270</v>
      </c>
      <c r="H26" s="17">
        <f>ROUND(G26*24,-1)</f>
        <v>30480</v>
      </c>
      <c r="J26" s="5"/>
    </row>
    <row r="27" spans="1:24" ht="18" customHeight="1">
      <c r="A27" s="19"/>
      <c r="B27" s="30" t="s">
        <v>100</v>
      </c>
      <c r="C27" s="18">
        <f>H7</f>
        <v>800</v>
      </c>
      <c r="D27" s="17">
        <f>ROUND(C27*22.86,-1)</f>
        <v>18290</v>
      </c>
      <c r="E27" s="19"/>
      <c r="F27" s="30" t="s">
        <v>100</v>
      </c>
      <c r="G27" s="18">
        <f>H7</f>
        <v>800</v>
      </c>
      <c r="H27" s="17">
        <f>ROUND(G27*24,-1)</f>
        <v>19200</v>
      </c>
    </row>
    <row r="28" spans="1:24" ht="18" customHeight="1">
      <c r="A28" s="20"/>
      <c r="B28" s="38" t="s">
        <v>5</v>
      </c>
      <c r="C28" s="39"/>
      <c r="D28" s="21">
        <f>SUM(D22:D27)</f>
        <v>135960</v>
      </c>
      <c r="E28" s="20"/>
      <c r="F28" s="38" t="s">
        <v>5</v>
      </c>
      <c r="G28" s="39"/>
      <c r="H28" s="21">
        <f>SUM(H22:H27)</f>
        <v>139840</v>
      </c>
    </row>
    <row r="29" spans="1:24" ht="18" customHeight="1">
      <c r="A29" s="15" t="s">
        <v>23</v>
      </c>
      <c r="B29" s="29" t="s">
        <v>4</v>
      </c>
      <c r="C29" s="16">
        <f>H3</f>
        <v>1510</v>
      </c>
      <c r="D29" s="17">
        <f>ROUNDUP(C29*24,-1)</f>
        <v>36240</v>
      </c>
      <c r="E29" s="15" t="s">
        <v>34</v>
      </c>
      <c r="F29" s="29" t="s">
        <v>4</v>
      </c>
      <c r="G29" s="16">
        <f>H3</f>
        <v>1510</v>
      </c>
      <c r="H29" s="17">
        <f>ROUNDUP(G29*22.86,-1)</f>
        <v>34520</v>
      </c>
    </row>
    <row r="30" spans="1:24" ht="18" customHeight="1">
      <c r="A30" s="4" t="s">
        <v>24</v>
      </c>
      <c r="B30" s="30" t="s">
        <v>25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4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18000</v>
      </c>
    </row>
    <row r="32" spans="1:24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1270</v>
      </c>
      <c r="D33" s="17">
        <f>ROUND(C33*24,-1)</f>
        <v>30480</v>
      </c>
      <c r="E33" s="19"/>
      <c r="F33" s="30" t="s">
        <v>98</v>
      </c>
      <c r="G33" s="18">
        <f>H6</f>
        <v>1270</v>
      </c>
      <c r="H33" s="17">
        <f>ROUND(G33*22.86,-1)</f>
        <v>29030</v>
      </c>
    </row>
    <row r="34" spans="1:8" ht="18" customHeight="1">
      <c r="A34" s="19"/>
      <c r="B34" s="30" t="s">
        <v>100</v>
      </c>
      <c r="C34" s="18">
        <f>H7</f>
        <v>800</v>
      </c>
      <c r="D34" s="17">
        <f>ROUND(C34*24,-1)</f>
        <v>19200</v>
      </c>
      <c r="E34" s="19"/>
      <c r="F34" s="30" t="s">
        <v>100</v>
      </c>
      <c r="G34" s="18">
        <f>H7</f>
        <v>800</v>
      </c>
      <c r="H34" s="17">
        <f>ROUND(G34*22.86,-1)</f>
        <v>18290</v>
      </c>
    </row>
    <row r="35" spans="1:8" ht="18" customHeight="1">
      <c r="A35" s="20"/>
      <c r="B35" s="38" t="s">
        <v>5</v>
      </c>
      <c r="C35" s="39"/>
      <c r="D35" s="21">
        <f>SUM(D29:D34)</f>
        <v>128840</v>
      </c>
      <c r="E35" s="20"/>
      <c r="F35" s="38" t="s">
        <v>5</v>
      </c>
      <c r="G35" s="39"/>
      <c r="H35" s="21">
        <f>SUM(H29:H34)</f>
        <v>135960</v>
      </c>
    </row>
    <row r="36" spans="1:8" s="3" customFormat="1" ht="18" customHeight="1">
      <c r="A36" s="15" t="s">
        <v>26</v>
      </c>
      <c r="B36" s="29" t="s">
        <v>4</v>
      </c>
      <c r="C36" s="16">
        <f>H3</f>
        <v>1510</v>
      </c>
      <c r="D36" s="17">
        <f>ROUNDUP(C36*14.35,-1)</f>
        <v>21670</v>
      </c>
      <c r="E36" s="15" t="s">
        <v>102</v>
      </c>
      <c r="F36" s="29" t="s">
        <v>4</v>
      </c>
      <c r="G36" s="16">
        <f>H3</f>
        <v>1510</v>
      </c>
      <c r="H36" s="17">
        <f>ROUNDUP(G36*14,-1)</f>
        <v>21140</v>
      </c>
    </row>
    <row r="37" spans="1:8" s="3" customFormat="1" ht="18" customHeight="1">
      <c r="A37" s="4" t="s">
        <v>18</v>
      </c>
      <c r="B37" s="30" t="s">
        <v>25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25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1270</v>
      </c>
      <c r="D40" s="17">
        <f>ROUND(C40*14.35,-1)</f>
        <v>18220</v>
      </c>
      <c r="E40" s="19"/>
      <c r="F40" s="30" t="s">
        <v>98</v>
      </c>
      <c r="G40" s="18">
        <f>H6</f>
        <v>1270</v>
      </c>
      <c r="H40" s="17">
        <f>ROUND(G40*14,-1)</f>
        <v>17780</v>
      </c>
    </row>
    <row r="41" spans="1:8" s="3" customFormat="1" ht="18" customHeight="1">
      <c r="A41" s="19"/>
      <c r="B41" s="30" t="s">
        <v>100</v>
      </c>
      <c r="C41" s="18">
        <f>H7</f>
        <v>800</v>
      </c>
      <c r="D41" s="17">
        <f>ROUND(C41*14.35,-1)</f>
        <v>11480</v>
      </c>
      <c r="E41" s="19"/>
      <c r="F41" s="30" t="s">
        <v>100</v>
      </c>
      <c r="G41" s="18">
        <f>H7</f>
        <v>800</v>
      </c>
      <c r="H41" s="17">
        <f>ROUND(G41*14,-1)</f>
        <v>11200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74050</v>
      </c>
      <c r="E42" s="20"/>
      <c r="F42" s="38" t="s">
        <v>5</v>
      </c>
      <c r="G42" s="39"/>
      <c r="H42" s="21">
        <f>SUM(H36:H41)</f>
        <v>72240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1510</v>
      </c>
      <c r="D43" s="17">
        <f>ROUNDUP(C43*24,-1)</f>
        <v>36240</v>
      </c>
      <c r="E43" s="1"/>
    </row>
    <row r="44" spans="1:8" s="3" customFormat="1" ht="18" customHeight="1">
      <c r="A44" s="4" t="s">
        <v>24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16000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1270</v>
      </c>
      <c r="D47" s="17">
        <f>ROUND(C47*24,-1)</f>
        <v>30480</v>
      </c>
      <c r="E47" s="1"/>
    </row>
    <row r="48" spans="1:8" s="3" customFormat="1" ht="18" customHeight="1">
      <c r="A48" s="19"/>
      <c r="B48" s="30" t="s">
        <v>100</v>
      </c>
      <c r="C48" s="18">
        <f>H7</f>
        <v>800</v>
      </c>
      <c r="D48" s="17">
        <f>ROUND(C48*24,-1)</f>
        <v>19200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139840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1510</v>
      </c>
      <c r="D53" s="17">
        <f>ROUNDUP(C53*99,-1)</f>
        <v>149490</v>
      </c>
      <c r="E53" s="15" t="s">
        <v>36</v>
      </c>
      <c r="F53" s="29" t="s">
        <v>4</v>
      </c>
      <c r="G53" s="16">
        <f>H3</f>
        <v>1510</v>
      </c>
      <c r="H53" s="17">
        <f>ROUNDUP(G53*59,-1)</f>
        <v>89090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1270</v>
      </c>
      <c r="D57" s="17">
        <f>ROUND(C57*99,-1)</f>
        <v>125730</v>
      </c>
      <c r="E57" s="19"/>
      <c r="F57" s="30" t="s">
        <v>98</v>
      </c>
      <c r="G57" s="18">
        <f>H6</f>
        <v>1270</v>
      </c>
      <c r="H57" s="17">
        <f>ROUND(G57*59,-1)</f>
        <v>74930</v>
      </c>
    </row>
    <row r="58" spans="1:8" s="3" customFormat="1" ht="18" customHeight="1">
      <c r="A58" s="19"/>
      <c r="B58" s="30" t="s">
        <v>100</v>
      </c>
      <c r="C58" s="18">
        <f>H7</f>
        <v>800</v>
      </c>
      <c r="D58" s="17">
        <f>ROUND(C58*99,-1)</f>
        <v>79200</v>
      </c>
      <c r="E58" s="19"/>
      <c r="F58" s="30" t="s">
        <v>100</v>
      </c>
      <c r="G58" s="18">
        <f>H7</f>
        <v>800</v>
      </c>
      <c r="H58" s="17">
        <f>ROUND(G58*59,-1)</f>
        <v>47200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532840</v>
      </c>
      <c r="E59" s="20"/>
      <c r="F59" s="38" t="s">
        <v>5</v>
      </c>
      <c r="G59" s="39"/>
      <c r="H59" s="21">
        <f>SUM(H53:H58)</f>
        <v>320440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1510</v>
      </c>
      <c r="D63" s="17">
        <f>ROUNDUP(C63*52,-1)</f>
        <v>78520</v>
      </c>
      <c r="E63" s="15" t="s">
        <v>40</v>
      </c>
      <c r="F63" s="29" t="s">
        <v>4</v>
      </c>
      <c r="G63" s="16">
        <f>H3</f>
        <v>1510</v>
      </c>
      <c r="H63" s="17">
        <f>ROUNDUP(G63*51,-1)</f>
        <v>77010</v>
      </c>
    </row>
    <row r="64" spans="1:8" s="3" customFormat="1" ht="18" customHeight="1">
      <c r="A64" s="4" t="s">
        <v>39</v>
      </c>
      <c r="B64" s="30" t="s">
        <v>25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4000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1270</v>
      </c>
      <c r="D67" s="17">
        <f>ROUND(C67*52,-1)</f>
        <v>66040</v>
      </c>
      <c r="E67" s="19"/>
      <c r="F67" s="30" t="s">
        <v>98</v>
      </c>
      <c r="G67" s="18">
        <f>H6</f>
        <v>1270</v>
      </c>
      <c r="H67" s="17">
        <f>ROUND(G67*51,-1)</f>
        <v>64770</v>
      </c>
    </row>
    <row r="68" spans="1:8" s="3" customFormat="1" ht="18" customHeight="1">
      <c r="A68" s="19"/>
      <c r="B68" s="30" t="s">
        <v>100</v>
      </c>
      <c r="C68" s="18">
        <f>H7</f>
        <v>800</v>
      </c>
      <c r="D68" s="17">
        <f>ROUND(C68*52,-1)</f>
        <v>41600</v>
      </c>
      <c r="E68" s="19"/>
      <c r="F68" s="30" t="s">
        <v>100</v>
      </c>
      <c r="G68" s="18">
        <f>H7</f>
        <v>800</v>
      </c>
      <c r="H68" s="17">
        <f>ROUND(G68*51,-1)</f>
        <v>40800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274320</v>
      </c>
      <c r="E69" s="20"/>
      <c r="F69" s="38" t="s">
        <v>5</v>
      </c>
      <c r="G69" s="39"/>
      <c r="H69" s="21">
        <f>SUM(H63:H68)</f>
        <v>267160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1510</v>
      </c>
      <c r="D70" s="17">
        <f>ROUNDUP(C70*47,-1)</f>
        <v>70970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1270</v>
      </c>
      <c r="D74" s="17">
        <f>ROUND(C74*47,-1)</f>
        <v>59690</v>
      </c>
      <c r="E74" s="1"/>
    </row>
    <row r="75" spans="1:8" s="3" customFormat="1" ht="18" customHeight="1">
      <c r="A75" s="19"/>
      <c r="B75" s="30" t="s">
        <v>100</v>
      </c>
      <c r="C75" s="18">
        <f>H7</f>
        <v>800</v>
      </c>
      <c r="D75" s="17">
        <f>ROUND(C75*47,-1)</f>
        <v>37600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242520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1510</v>
      </c>
      <c r="D80" s="17">
        <f>ROUNDUP(C80*52,-1)</f>
        <v>78520</v>
      </c>
      <c r="E80" s="15" t="s">
        <v>103</v>
      </c>
      <c r="F80" s="29" t="s">
        <v>4</v>
      </c>
      <c r="G80" s="16">
        <f>H3</f>
        <v>1510</v>
      </c>
      <c r="H80" s="17">
        <f>ROUNDUP(G80*51,-1)</f>
        <v>77010</v>
      </c>
    </row>
    <row r="81" spans="1:8" s="3" customFormat="1" ht="18" customHeight="1">
      <c r="A81" s="4" t="s">
        <v>39</v>
      </c>
      <c r="B81" s="30" t="s">
        <v>25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1270</v>
      </c>
      <c r="D84" s="17">
        <f>ROUND(C84*52,-1)</f>
        <v>66040</v>
      </c>
      <c r="E84" s="19"/>
      <c r="F84" s="30" t="s">
        <v>98</v>
      </c>
      <c r="G84" s="18">
        <f>H6</f>
        <v>1270</v>
      </c>
      <c r="H84" s="17">
        <f>ROUND(G84*51,-1)</f>
        <v>64770</v>
      </c>
    </row>
    <row r="85" spans="1:8" s="3" customFormat="1" ht="18" customHeight="1">
      <c r="A85" s="19"/>
      <c r="B85" s="30" t="s">
        <v>100</v>
      </c>
      <c r="C85" s="18">
        <f>H7</f>
        <v>800</v>
      </c>
      <c r="D85" s="17">
        <f>ROUND(C85*52,-1)</f>
        <v>41600</v>
      </c>
      <c r="E85" s="19"/>
      <c r="F85" s="30" t="s">
        <v>100</v>
      </c>
      <c r="G85" s="18">
        <f>H7</f>
        <v>800</v>
      </c>
      <c r="H85" s="17">
        <f>ROUND(G85*51,-1)</f>
        <v>40800</v>
      </c>
    </row>
    <row r="86" spans="1:8" s="3" customFormat="1" ht="18" customHeight="1">
      <c r="A86" s="20"/>
      <c r="B86" s="38"/>
      <c r="C86" s="39"/>
      <c r="D86" s="21">
        <f>SUM(D80:D85)</f>
        <v>273320</v>
      </c>
      <c r="E86" s="20"/>
      <c r="F86" s="38" t="s">
        <v>5</v>
      </c>
      <c r="G86" s="39"/>
      <c r="H86" s="21">
        <f>SUM(H80:H85)</f>
        <v>275160</v>
      </c>
    </row>
    <row r="87" spans="1:8" s="3" customFormat="1" ht="18" customHeight="1">
      <c r="A87" s="15" t="s">
        <v>104</v>
      </c>
      <c r="B87" s="29" t="s">
        <v>4</v>
      </c>
      <c r="C87" s="16">
        <f>H3</f>
        <v>1510</v>
      </c>
      <c r="D87" s="17">
        <f>ROUNDUP(C87*49,-1)</f>
        <v>73990</v>
      </c>
      <c r="E87" s="15" t="s">
        <v>105</v>
      </c>
      <c r="F87" s="73" t="s">
        <v>182</v>
      </c>
      <c r="G87" s="16"/>
      <c r="H87" s="17"/>
    </row>
    <row r="88" spans="1:8" s="3" customFormat="1" ht="18" customHeight="1">
      <c r="A88" s="4" t="s">
        <v>42</v>
      </c>
      <c r="B88" s="30" t="s">
        <v>25</v>
      </c>
      <c r="C88" s="18">
        <f>H4</f>
        <v>860</v>
      </c>
      <c r="D88" s="17">
        <f>ROUNDUP(C88*49,-1)</f>
        <v>42140</v>
      </c>
      <c r="E88" s="4"/>
      <c r="F88" s="37" t="s">
        <v>183</v>
      </c>
      <c r="G88" s="18">
        <v>330000</v>
      </c>
      <c r="H88" s="17">
        <v>300000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184</v>
      </c>
      <c r="G89" s="13">
        <v>10000</v>
      </c>
      <c r="H89" s="17">
        <v>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221</v>
      </c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1270</v>
      </c>
      <c r="D91" s="17">
        <f>ROUND(C91*47,-1)</f>
        <v>59690</v>
      </c>
      <c r="E91" s="19"/>
      <c r="F91" s="30" t="s">
        <v>222</v>
      </c>
      <c r="G91" s="18">
        <v>400000</v>
      </c>
      <c r="H91" s="17">
        <v>400000</v>
      </c>
    </row>
    <row r="92" spans="1:8" s="3" customFormat="1" ht="18" customHeight="1">
      <c r="A92" s="19"/>
      <c r="B92" s="30" t="s">
        <v>100</v>
      </c>
      <c r="C92" s="18">
        <f>H7</f>
        <v>800</v>
      </c>
      <c r="D92" s="17">
        <f>ROUND(C92*47,-1)</f>
        <v>37600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266260</v>
      </c>
      <c r="E93" s="20"/>
      <c r="F93" s="38" t="s">
        <v>5</v>
      </c>
      <c r="G93" s="39"/>
      <c r="H93" s="21">
        <f>SUM(H87:H92)</f>
        <v>710000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4:C4"/>
    <mergeCell ref="E4:G4"/>
    <mergeCell ref="A1:H1"/>
    <mergeCell ref="A2:D2"/>
    <mergeCell ref="E2:H2"/>
    <mergeCell ref="A3:C3"/>
    <mergeCell ref="E3:G3"/>
    <mergeCell ref="A5:C5"/>
    <mergeCell ref="E5:G5"/>
    <mergeCell ref="A6:C6"/>
    <mergeCell ref="E6:G6"/>
    <mergeCell ref="A7:C7"/>
    <mergeCell ref="E7:G7"/>
    <mergeCell ref="A8:C8"/>
    <mergeCell ref="E8:H8"/>
    <mergeCell ref="A9:C9"/>
    <mergeCell ref="E9:H18"/>
    <mergeCell ref="A10:C10"/>
    <mergeCell ref="A11:C11"/>
    <mergeCell ref="A12:C12"/>
    <mergeCell ref="A13:C13"/>
    <mergeCell ref="A14:C14"/>
    <mergeCell ref="A15:C15"/>
    <mergeCell ref="A16:C16"/>
    <mergeCell ref="A17:C17"/>
    <mergeCell ref="A78:H78"/>
    <mergeCell ref="A95:H95"/>
    <mergeCell ref="A18:C18"/>
    <mergeCell ref="A20:H20"/>
    <mergeCell ref="A51:H51"/>
    <mergeCell ref="A61:H61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09171-115F-4290-B007-8DF072C13BF1}">
  <dimension ref="A1:O150"/>
  <sheetViews>
    <sheetView zoomScaleNormal="100" workbookViewId="0">
      <selection activeCell="J67" sqref="J67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96" t="s">
        <v>193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194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748316</v>
      </c>
      <c r="E3" s="95" t="s">
        <v>52</v>
      </c>
      <c r="F3" s="95"/>
      <c r="G3" s="95"/>
      <c r="H3" s="32">
        <f>ROUNDUP((D7/605)*110%,-1)</f>
        <v>1550</v>
      </c>
    </row>
    <row r="4" spans="1:10" ht="17.100000000000001" customHeight="1">
      <c r="A4" s="84" t="s">
        <v>21</v>
      </c>
      <c r="B4" s="84"/>
      <c r="C4" s="84"/>
      <c r="D4" s="26">
        <f>SUM(D3:D3)</f>
        <v>748316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74831.600000000006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23940</v>
      </c>
      <c r="E6" s="95" t="s">
        <v>99</v>
      </c>
      <c r="F6" s="95"/>
      <c r="G6" s="95"/>
      <c r="H6" s="33">
        <f>ROUNDUP((D12/619)*110%,-1)</f>
        <v>1730</v>
      </c>
    </row>
    <row r="7" spans="1:10" ht="17.100000000000001" customHeight="1">
      <c r="A7" s="94" t="s">
        <v>32</v>
      </c>
      <c r="B7" s="94"/>
      <c r="C7" s="94"/>
      <c r="D7" s="28">
        <f>SUM(D4:D6)</f>
        <v>847087.6</v>
      </c>
      <c r="E7" s="95" t="s">
        <v>101</v>
      </c>
      <c r="F7" s="95"/>
      <c r="G7" s="95"/>
      <c r="H7" s="33">
        <v>200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192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f>H93+200000</f>
        <v>971480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157000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2969377.6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3985930</v>
      </c>
      <c r="L21" s="5"/>
      <c r="N21" s="5">
        <f>D24+H24+D31+H31+D38+H38+D45+D55+H55+D65+H65+D72+D82+H82+D89</f>
        <v>153000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1550</v>
      </c>
      <c r="D22" s="17">
        <f>ROUNDUP(C22*22.86,-1)</f>
        <v>35440</v>
      </c>
      <c r="E22" s="15" t="s">
        <v>13</v>
      </c>
      <c r="F22" s="29" t="s">
        <v>4</v>
      </c>
      <c r="G22" s="16">
        <f>H3</f>
        <v>1550</v>
      </c>
      <c r="H22" s="22">
        <f>ROUNDUP(G22*24,-1)</f>
        <v>37200</v>
      </c>
      <c r="J22" s="5">
        <f>D27+H27+D34+H34+D41+H41+D48+D58+H58+D68+H68+D75+D85+H85+D92</f>
        <v>120810</v>
      </c>
      <c r="N22" s="5">
        <f>D27+H27+D34+H34+D41+H41+D48+D58+H58+D68+H68+D75+D85+H85+D92</f>
        <v>120810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18000</v>
      </c>
      <c r="E24" s="19"/>
      <c r="F24" s="30" t="s">
        <v>22</v>
      </c>
      <c r="G24" s="37"/>
      <c r="H24" s="49">
        <v>16000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1730</v>
      </c>
      <c r="D26" s="17">
        <f>ROUND(C26*22.86,-1)</f>
        <v>39550</v>
      </c>
      <c r="E26" s="19"/>
      <c r="F26" s="30" t="s">
        <v>98</v>
      </c>
      <c r="G26" s="18">
        <f>H6</f>
        <v>1730</v>
      </c>
      <c r="H26" s="17">
        <f>ROUND(G26*24,-1)</f>
        <v>41520</v>
      </c>
      <c r="J26" s="5"/>
    </row>
    <row r="27" spans="1:15" ht="18" customHeight="1">
      <c r="A27" s="19"/>
      <c r="B27" s="30" t="s">
        <v>100</v>
      </c>
      <c r="C27" s="18">
        <f>H7</f>
        <v>200</v>
      </c>
      <c r="D27" s="17">
        <f>ROUND(C27*22.86,-1)</f>
        <v>4570</v>
      </c>
      <c r="E27" s="19"/>
      <c r="F27" s="30" t="s">
        <v>100</v>
      </c>
      <c r="G27" s="18">
        <f>H7</f>
        <v>200</v>
      </c>
      <c r="H27" s="17">
        <f>ROUND(G27*24,-1)</f>
        <v>4800</v>
      </c>
    </row>
    <row r="28" spans="1:15" ht="18" customHeight="1">
      <c r="A28" s="20"/>
      <c r="B28" s="38" t="s">
        <v>5</v>
      </c>
      <c r="C28" s="39"/>
      <c r="D28" s="21">
        <f>SUM(D22:D27)</f>
        <v>133680</v>
      </c>
      <c r="E28" s="20"/>
      <c r="F28" s="38" t="s">
        <v>5</v>
      </c>
      <c r="G28" s="39"/>
      <c r="H28" s="21">
        <f>SUM(H22:H27)</f>
        <v>137440</v>
      </c>
    </row>
    <row r="29" spans="1:15" ht="18" customHeight="1">
      <c r="A29" s="15" t="s">
        <v>23</v>
      </c>
      <c r="B29" s="29" t="s">
        <v>4</v>
      </c>
      <c r="C29" s="16">
        <f>H3</f>
        <v>1550</v>
      </c>
      <c r="D29" s="17">
        <f>ROUNDUP(C29*24,-1)</f>
        <v>37200</v>
      </c>
      <c r="E29" s="15" t="s">
        <v>34</v>
      </c>
      <c r="F29" s="29" t="s">
        <v>4</v>
      </c>
      <c r="G29" s="16">
        <f>H3</f>
        <v>1550</v>
      </c>
      <c r="H29" s="17">
        <f>ROUNDUP(G29*22.86,-1)</f>
        <v>35440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18000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1730</v>
      </c>
      <c r="D33" s="17">
        <f>ROUND(C33*24,-1)</f>
        <v>41520</v>
      </c>
      <c r="E33" s="19"/>
      <c r="F33" s="30" t="s">
        <v>98</v>
      </c>
      <c r="G33" s="18">
        <f>H6</f>
        <v>1730</v>
      </c>
      <c r="H33" s="17">
        <f>ROUND(G33*22.86,-1)</f>
        <v>39550</v>
      </c>
    </row>
    <row r="34" spans="1:8" ht="18" customHeight="1">
      <c r="A34" s="19"/>
      <c r="B34" s="30" t="s">
        <v>100</v>
      </c>
      <c r="C34" s="18">
        <f>H7</f>
        <v>200</v>
      </c>
      <c r="D34" s="17">
        <f>ROUND(C34*24,-1)</f>
        <v>4800</v>
      </c>
      <c r="E34" s="19"/>
      <c r="F34" s="30" t="s">
        <v>100</v>
      </c>
      <c r="G34" s="18">
        <f>H7</f>
        <v>200</v>
      </c>
      <c r="H34" s="17">
        <f>ROUND(G34*22.86,-1)</f>
        <v>4570</v>
      </c>
    </row>
    <row r="35" spans="1:8" ht="18" customHeight="1">
      <c r="A35" s="20"/>
      <c r="B35" s="38" t="s">
        <v>5</v>
      </c>
      <c r="C35" s="39"/>
      <c r="D35" s="21">
        <f>SUM(D29:D34)</f>
        <v>126440</v>
      </c>
      <c r="E35" s="20"/>
      <c r="F35" s="38" t="s">
        <v>5</v>
      </c>
      <c r="G35" s="39"/>
      <c r="H35" s="21">
        <f>SUM(H29:H34)</f>
        <v>133680</v>
      </c>
    </row>
    <row r="36" spans="1:8" s="3" customFormat="1" ht="18" customHeight="1">
      <c r="A36" s="15" t="s">
        <v>26</v>
      </c>
      <c r="B36" s="29" t="s">
        <v>4</v>
      </c>
      <c r="C36" s="16">
        <f>H3</f>
        <v>1550</v>
      </c>
      <c r="D36" s="17">
        <f>ROUNDUP(C36*14.35,-1)</f>
        <v>22250</v>
      </c>
      <c r="E36" s="15" t="s">
        <v>102</v>
      </c>
      <c r="F36" s="29" t="s">
        <v>4</v>
      </c>
      <c r="G36" s="16">
        <f>H3</f>
        <v>1550</v>
      </c>
      <c r="H36" s="17">
        <f>ROUNDUP(G36*14,-1)</f>
        <v>21700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1730</v>
      </c>
      <c r="D40" s="17">
        <f>ROUND(C40*14.35,-1)</f>
        <v>24830</v>
      </c>
      <c r="E40" s="19"/>
      <c r="F40" s="30" t="s">
        <v>98</v>
      </c>
      <c r="G40" s="18">
        <f>H6</f>
        <v>1730</v>
      </c>
      <c r="H40" s="17">
        <f>ROUND(G40*14,-1)</f>
        <v>24220</v>
      </c>
    </row>
    <row r="41" spans="1:8" s="3" customFormat="1" ht="18" customHeight="1">
      <c r="A41" s="19"/>
      <c r="B41" s="30" t="s">
        <v>100</v>
      </c>
      <c r="C41" s="18">
        <f>H7</f>
        <v>200</v>
      </c>
      <c r="D41" s="17">
        <f>ROUND(C41*14.35,-1)</f>
        <v>2870</v>
      </c>
      <c r="E41" s="19"/>
      <c r="F41" s="30" t="s">
        <v>100</v>
      </c>
      <c r="G41" s="18">
        <f>H7</f>
        <v>200</v>
      </c>
      <c r="H41" s="17">
        <f>ROUND(G41*14,-1)</f>
        <v>2800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72630</v>
      </c>
      <c r="E42" s="20"/>
      <c r="F42" s="38" t="s">
        <v>5</v>
      </c>
      <c r="G42" s="39"/>
      <c r="H42" s="21">
        <f>SUM(H36:H41)</f>
        <v>70840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1550</v>
      </c>
      <c r="D43" s="17">
        <f>ROUNDUP(C43*24,-1)</f>
        <v>37200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16000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1730</v>
      </c>
      <c r="D47" s="17">
        <f>ROUND(C47*24,-1)</f>
        <v>41520</v>
      </c>
      <c r="E47" s="1"/>
    </row>
    <row r="48" spans="1:8" s="3" customFormat="1" ht="18" customHeight="1">
      <c r="A48" s="19"/>
      <c r="B48" s="30" t="s">
        <v>100</v>
      </c>
      <c r="C48" s="18">
        <f>H7</f>
        <v>200</v>
      </c>
      <c r="D48" s="17">
        <f>ROUND(C48*24,-1)</f>
        <v>4800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137440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1550</v>
      </c>
      <c r="D53" s="17">
        <f>ROUNDUP(C53*99,-1)</f>
        <v>153450</v>
      </c>
      <c r="E53" s="15" t="s">
        <v>36</v>
      </c>
      <c r="F53" s="29" t="s">
        <v>4</v>
      </c>
      <c r="G53" s="16">
        <f>H3</f>
        <v>1550</v>
      </c>
      <c r="H53" s="17">
        <f>ROUNDUP(G53*59,-1)</f>
        <v>91450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1730</v>
      </c>
      <c r="D57" s="17">
        <f>ROUND(C57*99,-1)</f>
        <v>171270</v>
      </c>
      <c r="E57" s="19"/>
      <c r="F57" s="30" t="s">
        <v>98</v>
      </c>
      <c r="G57" s="18">
        <f>H6</f>
        <v>1730</v>
      </c>
      <c r="H57" s="17">
        <f>ROUND(G57*59,-1)</f>
        <v>102070</v>
      </c>
    </row>
    <row r="58" spans="1:8" s="3" customFormat="1" ht="18" customHeight="1">
      <c r="A58" s="19"/>
      <c r="B58" s="30" t="s">
        <v>100</v>
      </c>
      <c r="C58" s="18">
        <f>H7</f>
        <v>200</v>
      </c>
      <c r="D58" s="17">
        <f>ROUND(C58*99,-1)</f>
        <v>19800</v>
      </c>
      <c r="E58" s="19"/>
      <c r="F58" s="30" t="s">
        <v>100</v>
      </c>
      <c r="G58" s="18">
        <f>H7</f>
        <v>200</v>
      </c>
      <c r="H58" s="17">
        <f>ROUND(G58*59,-1)</f>
        <v>11800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522940</v>
      </c>
      <c r="E59" s="20"/>
      <c r="F59" s="38" t="s">
        <v>5</v>
      </c>
      <c r="G59" s="39"/>
      <c r="H59" s="21">
        <f>SUM(H53:H58)</f>
        <v>314540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1550</v>
      </c>
      <c r="D63" s="17">
        <f>ROUNDUP(C63*52,-1)</f>
        <v>80600</v>
      </c>
      <c r="E63" s="15" t="s">
        <v>40</v>
      </c>
      <c r="F63" s="29" t="s">
        <v>4</v>
      </c>
      <c r="G63" s="16">
        <f>H3</f>
        <v>1550</v>
      </c>
      <c r="H63" s="17">
        <f>ROUNDUP(G63*51,-1)</f>
        <v>79050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1730</v>
      </c>
      <c r="D67" s="17">
        <f>ROUND(C67*52,-1)</f>
        <v>89960</v>
      </c>
      <c r="E67" s="19"/>
      <c r="F67" s="30" t="s">
        <v>98</v>
      </c>
      <c r="G67" s="18">
        <f>H6</f>
        <v>1730</v>
      </c>
      <c r="H67" s="17">
        <f>ROUND(G67*51,-1)</f>
        <v>88230</v>
      </c>
    </row>
    <row r="68" spans="1:8" s="3" customFormat="1" ht="18" customHeight="1">
      <c r="A68" s="19"/>
      <c r="B68" s="30" t="s">
        <v>100</v>
      </c>
      <c r="C68" s="18">
        <f>H7</f>
        <v>200</v>
      </c>
      <c r="D68" s="17">
        <f>ROUND(C68*52,-1)</f>
        <v>10400</v>
      </c>
      <c r="E68" s="19"/>
      <c r="F68" s="30" t="s">
        <v>100</v>
      </c>
      <c r="G68" s="18">
        <f>H7</f>
        <v>200</v>
      </c>
      <c r="H68" s="17">
        <f>ROUND(G68*51,-1)</f>
        <v>10200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269120</v>
      </c>
      <c r="E69" s="20"/>
      <c r="F69" s="38" t="s">
        <v>5</v>
      </c>
      <c r="G69" s="39"/>
      <c r="H69" s="21">
        <f>SUM(H63:H68)</f>
        <v>258060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1550</v>
      </c>
      <c r="D70" s="17">
        <f>ROUNDUP(C70*47,-1)</f>
        <v>72850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1730</v>
      </c>
      <c r="D74" s="17">
        <f>ROUND(C74*47,-1)</f>
        <v>81310</v>
      </c>
      <c r="E74" s="1"/>
    </row>
    <row r="75" spans="1:8" s="3" customFormat="1" ht="18" customHeight="1">
      <c r="A75" s="19"/>
      <c r="B75" s="30" t="s">
        <v>100</v>
      </c>
      <c r="C75" s="18">
        <f>H7</f>
        <v>200</v>
      </c>
      <c r="D75" s="17">
        <f>ROUND(C75*47,-1)</f>
        <v>9400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237820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1550</v>
      </c>
      <c r="D80" s="17">
        <f>ROUNDUP(C80*52,-1)</f>
        <v>80600</v>
      </c>
      <c r="E80" s="15" t="s">
        <v>15</v>
      </c>
      <c r="F80" s="29" t="s">
        <v>4</v>
      </c>
      <c r="G80" s="16">
        <f>H3</f>
        <v>1550</v>
      </c>
      <c r="H80" s="17">
        <f>ROUNDUP(G80*51,-1)</f>
        <v>79050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1730</v>
      </c>
      <c r="D84" s="17">
        <f>ROUND(C84*52,-1)</f>
        <v>89960</v>
      </c>
      <c r="E84" s="19"/>
      <c r="F84" s="30" t="s">
        <v>98</v>
      </c>
      <c r="G84" s="18">
        <f>H6</f>
        <v>1730</v>
      </c>
      <c r="H84" s="17">
        <f>ROUND(G84*51,-1)</f>
        <v>88230</v>
      </c>
    </row>
    <row r="85" spans="1:8" s="3" customFormat="1" ht="18" customHeight="1">
      <c r="A85" s="19"/>
      <c r="B85" s="30" t="s">
        <v>100</v>
      </c>
      <c r="C85" s="18">
        <f>H7</f>
        <v>200</v>
      </c>
      <c r="D85" s="17">
        <f>ROUND(C85*52,-1)</f>
        <v>10400</v>
      </c>
      <c r="E85" s="19"/>
      <c r="F85" s="30" t="s">
        <v>100</v>
      </c>
      <c r="G85" s="18">
        <f>H7</f>
        <v>200</v>
      </c>
      <c r="H85" s="17">
        <f>ROUND(G85*51,-1)</f>
        <v>10200</v>
      </c>
    </row>
    <row r="86" spans="1:8" s="3" customFormat="1" ht="18" customHeight="1">
      <c r="A86" s="20"/>
      <c r="B86" s="38"/>
      <c r="C86" s="39"/>
      <c r="D86" s="21">
        <f>SUM(D80:D85)</f>
        <v>268120</v>
      </c>
      <c r="E86" s="20"/>
      <c r="F86" s="38" t="s">
        <v>5</v>
      </c>
      <c r="G86" s="39"/>
      <c r="H86" s="21">
        <f>SUM(H80:H85)</f>
        <v>270060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1550</v>
      </c>
      <c r="D87" s="17">
        <f>ROUNDUP(C87*49,-1)</f>
        <v>75950</v>
      </c>
      <c r="E87" s="15" t="s">
        <v>45</v>
      </c>
      <c r="F87" s="73" t="s">
        <v>182</v>
      </c>
      <c r="G87" s="16"/>
      <c r="H87" s="17"/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7" t="s">
        <v>187</v>
      </c>
      <c r="G88" s="18"/>
      <c r="H88" s="17">
        <v>360000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158</v>
      </c>
      <c r="G89" s="37"/>
      <c r="H89" s="17">
        <v>11480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223</v>
      </c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1730</v>
      </c>
      <c r="D91" s="17">
        <f>ROUND(C91*47,-1)</f>
        <v>81310</v>
      </c>
      <c r="E91" s="19"/>
      <c r="F91" s="30" t="s">
        <v>224</v>
      </c>
      <c r="G91" s="18"/>
      <c r="H91" s="17">
        <v>400000</v>
      </c>
    </row>
    <row r="92" spans="1:8" s="3" customFormat="1" ht="18" customHeight="1">
      <c r="A92" s="19"/>
      <c r="B92" s="30" t="s">
        <v>100</v>
      </c>
      <c r="C92" s="18">
        <f>H7</f>
        <v>200</v>
      </c>
      <c r="D92" s="17">
        <f>ROUND(C92*47,-1)</f>
        <v>9400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261640</v>
      </c>
      <c r="E93" s="20"/>
      <c r="F93" s="38" t="s">
        <v>5</v>
      </c>
      <c r="G93" s="39"/>
      <c r="H93" s="21">
        <f>H87+H88+H89+H90+H91+H92</f>
        <v>771480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61:H61"/>
    <mergeCell ref="A20:H20"/>
    <mergeCell ref="A51:H5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13:C13"/>
    <mergeCell ref="A14:C14"/>
    <mergeCell ref="A18:C18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94604-DCDF-4E4B-8D94-1AE61371DF83}">
  <dimension ref="A1:V150"/>
  <sheetViews>
    <sheetView zoomScaleNormal="100" workbookViewId="0">
      <selection activeCell="D25" sqref="D25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20" width="8.88671875" style="1"/>
    <col min="21" max="21" width="9.5546875" style="1" bestFit="1" customWidth="1"/>
    <col min="22" max="16384" width="8.88671875" style="1"/>
  </cols>
  <sheetData>
    <row r="1" spans="1:16" ht="39.950000000000003" customHeight="1">
      <c r="A1" s="96" t="s">
        <v>195</v>
      </c>
      <c r="B1" s="96"/>
      <c r="C1" s="96"/>
      <c r="D1" s="96"/>
      <c r="E1" s="96"/>
      <c r="F1" s="96"/>
      <c r="G1" s="96"/>
      <c r="H1" s="96"/>
    </row>
    <row r="2" spans="1:16" ht="17.100000000000001" customHeight="1">
      <c r="A2" s="97" t="s">
        <v>51</v>
      </c>
      <c r="B2" s="98"/>
      <c r="C2" s="98"/>
      <c r="D2" s="99"/>
      <c r="E2" s="100" t="s">
        <v>196</v>
      </c>
      <c r="F2" s="100"/>
      <c r="G2" s="100"/>
      <c r="H2" s="100"/>
    </row>
    <row r="3" spans="1:16" ht="17.100000000000001" customHeight="1">
      <c r="A3" s="84" t="s">
        <v>143</v>
      </c>
      <c r="B3" s="84"/>
      <c r="C3" s="84"/>
      <c r="D3" s="48">
        <v>733383</v>
      </c>
      <c r="E3" s="95" t="s">
        <v>52</v>
      </c>
      <c r="F3" s="95"/>
      <c r="G3" s="95"/>
      <c r="H3" s="32">
        <f>ROUNDUP((D7/605)*110%,-1)</f>
        <v>1510</v>
      </c>
    </row>
    <row r="4" spans="1:16" ht="17.100000000000001" customHeight="1">
      <c r="A4" s="84" t="s">
        <v>149</v>
      </c>
      <c r="B4" s="84"/>
      <c r="C4" s="84"/>
      <c r="D4" s="26">
        <f>SUM(D3:D3)</f>
        <v>733383</v>
      </c>
      <c r="E4" s="95" t="s">
        <v>53</v>
      </c>
      <c r="F4" s="95"/>
      <c r="G4" s="95"/>
      <c r="H4" s="33">
        <f>ROUNDUP((SUM(D8:D10)/605)*110%,-1)</f>
        <v>860</v>
      </c>
    </row>
    <row r="5" spans="1:16" ht="17.100000000000001" customHeight="1">
      <c r="A5" s="84" t="s">
        <v>150</v>
      </c>
      <c r="B5" s="84"/>
      <c r="C5" s="84"/>
      <c r="D5" s="26">
        <f>D4*0.1</f>
        <v>73338.3</v>
      </c>
      <c r="E5" s="95" t="s">
        <v>54</v>
      </c>
      <c r="F5" s="95"/>
      <c r="G5" s="95"/>
      <c r="H5" s="33">
        <f>ROUNDUP((D14/619)*110%,-1)</f>
        <v>720</v>
      </c>
    </row>
    <row r="6" spans="1:16" ht="17.100000000000001" customHeight="1">
      <c r="A6" s="84" t="s">
        <v>151</v>
      </c>
      <c r="B6" s="84"/>
      <c r="C6" s="84"/>
      <c r="D6" s="48">
        <v>23460</v>
      </c>
      <c r="E6" s="95" t="s">
        <v>99</v>
      </c>
      <c r="F6" s="95"/>
      <c r="G6" s="95"/>
      <c r="H6" s="33">
        <f>ROUNDUP((D12/619)*110%,-1)</f>
        <v>1560</v>
      </c>
    </row>
    <row r="7" spans="1:16" ht="17.100000000000001" customHeight="1">
      <c r="A7" s="94" t="s">
        <v>152</v>
      </c>
      <c r="B7" s="94"/>
      <c r="C7" s="94"/>
      <c r="D7" s="28">
        <f>SUM(D4:D6)</f>
        <v>830181.3</v>
      </c>
      <c r="E7" s="95" t="s">
        <v>101</v>
      </c>
      <c r="F7" s="95"/>
      <c r="G7" s="95"/>
      <c r="H7" s="33">
        <v>600</v>
      </c>
    </row>
    <row r="8" spans="1:16" ht="17.100000000000001" customHeight="1">
      <c r="A8" s="84" t="s">
        <v>153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6" ht="17.100000000000001" customHeight="1">
      <c r="A9" s="84" t="s">
        <v>7</v>
      </c>
      <c r="B9" s="84"/>
      <c r="C9" s="84"/>
      <c r="D9" s="27">
        <f>기초자료!B3</f>
        <v>130000</v>
      </c>
      <c r="E9" s="85" t="s">
        <v>197</v>
      </c>
      <c r="F9" s="86"/>
      <c r="G9" s="86"/>
      <c r="H9" s="87"/>
    </row>
    <row r="10" spans="1:16" ht="17.100000000000001" customHeight="1">
      <c r="A10" s="84" t="s">
        <v>10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6" ht="17.100000000000001" customHeight="1">
      <c r="A11" s="94" t="s">
        <v>154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6" ht="17.100000000000001" customHeight="1">
      <c r="A12" s="84" t="s">
        <v>98</v>
      </c>
      <c r="B12" s="84"/>
      <c r="C12" s="84"/>
      <c r="D12" s="70">
        <v>875300</v>
      </c>
      <c r="E12" s="88"/>
      <c r="F12" s="89"/>
      <c r="G12" s="89"/>
      <c r="H12" s="90"/>
      <c r="N12" s="1" t="s">
        <v>227</v>
      </c>
      <c r="P12" s="68">
        <v>230340</v>
      </c>
    </row>
    <row r="13" spans="1:16" ht="17.100000000000001" customHeight="1">
      <c r="A13" s="84" t="s">
        <v>35</v>
      </c>
      <c r="B13" s="84"/>
      <c r="C13" s="84"/>
      <c r="D13" s="67">
        <v>230340</v>
      </c>
      <c r="E13" s="88"/>
      <c r="F13" s="89"/>
      <c r="G13" s="89"/>
      <c r="H13" s="90"/>
      <c r="J13" s="41"/>
    </row>
    <row r="14" spans="1:16" ht="17.100000000000001" customHeight="1">
      <c r="A14" s="84" t="s">
        <v>50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6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6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22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22" s="25" customFormat="1" ht="20.100000000000001" customHeight="1">
      <c r="A18" s="83" t="s">
        <v>8</v>
      </c>
      <c r="B18" s="83"/>
      <c r="C18" s="83"/>
      <c r="D18" s="34">
        <f>SUM(D12:D17)+D7+D11+J22</f>
        <v>3171271.3</v>
      </c>
      <c r="E18" s="91"/>
      <c r="F18" s="92"/>
      <c r="G18" s="92"/>
      <c r="H18" s="93"/>
    </row>
    <row r="19" spans="1:22" ht="17.100000000000001" customHeight="1">
      <c r="A19" s="24"/>
      <c r="B19" s="24"/>
      <c r="C19" s="24"/>
      <c r="D19" s="3"/>
    </row>
    <row r="20" spans="1:22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22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3979970</v>
      </c>
      <c r="L21" s="5"/>
      <c r="N21" s="5">
        <f>D24+H24+D31+H31+D38+H38+D45+D55+H55+D65+H65+D72+D82+H82+D89</f>
        <v>135000</v>
      </c>
      <c r="O21" s="1" t="s">
        <v>106</v>
      </c>
      <c r="P21" s="1" t="s">
        <v>228</v>
      </c>
      <c r="Q21" s="68">
        <v>230340</v>
      </c>
      <c r="R21" s="68">
        <v>77340</v>
      </c>
      <c r="S21" s="1" t="s">
        <v>229</v>
      </c>
      <c r="U21" s="5"/>
      <c r="V21" s="5"/>
    </row>
    <row r="22" spans="1:22" ht="18" customHeight="1">
      <c r="A22" s="15" t="s">
        <v>11</v>
      </c>
      <c r="B22" s="74" t="s">
        <v>4</v>
      </c>
      <c r="C22" s="75">
        <f>H3</f>
        <v>1510</v>
      </c>
      <c r="D22" s="76">
        <f>ROUNDUP(C22*22.86,-1)</f>
        <v>34520</v>
      </c>
      <c r="E22" s="15" t="s">
        <v>13</v>
      </c>
      <c r="F22" s="29" t="s">
        <v>4</v>
      </c>
      <c r="G22" s="16">
        <f>H3</f>
        <v>1510</v>
      </c>
      <c r="H22" s="22">
        <f>ROUNDUP(G22*24,-1)</f>
        <v>36240</v>
      </c>
      <c r="J22" s="5">
        <f>D27+H27+D34+H34+D41+H41+D48+D58+H58+D68+H68+D75+D85+H85+D92</f>
        <v>362450</v>
      </c>
      <c r="N22" s="5">
        <f>D27+H27+D34+H34+D41+H41+D48+D58+H58+D68+H68+D75+D85+H85+D92</f>
        <v>362450</v>
      </c>
      <c r="O22" s="1" t="s">
        <v>107</v>
      </c>
    </row>
    <row r="23" spans="1:22" ht="18" customHeight="1">
      <c r="A23" s="4" t="s">
        <v>16</v>
      </c>
      <c r="B23" s="77" t="s">
        <v>12</v>
      </c>
      <c r="C23" s="78">
        <f>H4</f>
        <v>860</v>
      </c>
      <c r="D23" s="76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22" ht="18" customHeight="1">
      <c r="A24" s="19"/>
      <c r="B24" s="77" t="s">
        <v>22</v>
      </c>
      <c r="C24" s="79"/>
      <c r="D24" s="80">
        <v>0</v>
      </c>
      <c r="E24" s="19"/>
      <c r="F24" s="30" t="s">
        <v>22</v>
      </c>
      <c r="G24" s="37"/>
      <c r="H24" s="49">
        <v>16000</v>
      </c>
    </row>
    <row r="25" spans="1:22" ht="18" customHeight="1">
      <c r="A25" s="19"/>
      <c r="B25" s="77" t="s">
        <v>9</v>
      </c>
      <c r="C25" s="78">
        <f>H5</f>
        <v>720</v>
      </c>
      <c r="D25" s="76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2" ht="18" customHeight="1">
      <c r="A26" s="19"/>
      <c r="B26" s="77" t="s">
        <v>98</v>
      </c>
      <c r="C26" s="78">
        <f>H6</f>
        <v>1560</v>
      </c>
      <c r="D26" s="76">
        <f>ROUND(C26*22.86,-1)</f>
        <v>35660</v>
      </c>
      <c r="E26" s="19"/>
      <c r="F26" s="30" t="s">
        <v>98</v>
      </c>
      <c r="G26" s="18">
        <f>H6</f>
        <v>1560</v>
      </c>
      <c r="H26" s="17">
        <f>ROUND(G26*24,-1)</f>
        <v>37440</v>
      </c>
      <c r="J26" s="5"/>
    </row>
    <row r="27" spans="1:22" ht="18" customHeight="1">
      <c r="A27" s="19"/>
      <c r="B27" s="77" t="s">
        <v>100</v>
      </c>
      <c r="C27" s="78">
        <f>H7</f>
        <v>600</v>
      </c>
      <c r="D27" s="76">
        <f>ROUND(C27*22.86,-1)</f>
        <v>13720</v>
      </c>
      <c r="E27" s="19"/>
      <c r="F27" s="30" t="s">
        <v>100</v>
      </c>
      <c r="G27" s="18">
        <f>H7</f>
        <v>600</v>
      </c>
      <c r="H27" s="17">
        <f>ROUND(G27*24,-1)</f>
        <v>14400</v>
      </c>
    </row>
    <row r="28" spans="1:22" ht="18" customHeight="1">
      <c r="A28" s="20"/>
      <c r="B28" s="38" t="s">
        <v>5</v>
      </c>
      <c r="C28" s="39"/>
      <c r="D28" s="21">
        <f>SUM(D22:D27)</f>
        <v>120020</v>
      </c>
      <c r="E28" s="20"/>
      <c r="F28" s="38" t="s">
        <v>5</v>
      </c>
      <c r="G28" s="39"/>
      <c r="H28" s="21">
        <f>SUM(H22:H27)</f>
        <v>142000</v>
      </c>
    </row>
    <row r="29" spans="1:22" ht="18" customHeight="1">
      <c r="A29" s="15" t="s">
        <v>23</v>
      </c>
      <c r="B29" s="74" t="s">
        <v>4</v>
      </c>
      <c r="C29" s="75">
        <f>H3</f>
        <v>1510</v>
      </c>
      <c r="D29" s="76">
        <f>ROUNDUP(C29*24,-1)</f>
        <v>36240</v>
      </c>
      <c r="E29" s="15" t="s">
        <v>34</v>
      </c>
      <c r="F29" s="29" t="s">
        <v>4</v>
      </c>
      <c r="G29" s="16">
        <f>H3</f>
        <v>1510</v>
      </c>
      <c r="H29" s="17">
        <f>ROUNDUP(G29*22.86,-1)</f>
        <v>34520</v>
      </c>
    </row>
    <row r="30" spans="1:22" ht="18" customHeight="1">
      <c r="A30" s="4" t="s">
        <v>17</v>
      </c>
      <c r="B30" s="77" t="s">
        <v>12</v>
      </c>
      <c r="C30" s="78">
        <f>H4</f>
        <v>860</v>
      </c>
      <c r="D30" s="76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2" ht="18" customHeight="1">
      <c r="A31" s="19"/>
      <c r="B31" s="77" t="s">
        <v>22</v>
      </c>
      <c r="C31" s="79"/>
      <c r="D31" s="80">
        <v>5000</v>
      </c>
      <c r="E31" s="19"/>
      <c r="F31" s="30" t="s">
        <v>22</v>
      </c>
      <c r="G31" s="37"/>
      <c r="H31" s="49">
        <v>18000</v>
      </c>
      <c r="J31" s="1" t="s">
        <v>238</v>
      </c>
    </row>
    <row r="32" spans="1:22" ht="18" customHeight="1">
      <c r="A32" s="19"/>
      <c r="B32" s="77" t="s">
        <v>9</v>
      </c>
      <c r="C32" s="78">
        <f>H5</f>
        <v>720</v>
      </c>
      <c r="D32" s="76">
        <f>ROUND(C32*24,-1)</f>
        <v>17280</v>
      </c>
      <c r="E32" s="19"/>
      <c r="F32" s="30" t="s">
        <v>9</v>
      </c>
      <c r="G32" s="18">
        <f>H5</f>
        <v>720</v>
      </c>
      <c r="H32" s="17">
        <v>10000</v>
      </c>
    </row>
    <row r="33" spans="1:14" ht="18" customHeight="1">
      <c r="A33" s="19"/>
      <c r="B33" s="77" t="s">
        <v>98</v>
      </c>
      <c r="C33" s="78">
        <f>H6</f>
        <v>1560</v>
      </c>
      <c r="D33" s="76">
        <f>ROUND(C33*24,-1)</f>
        <v>37440</v>
      </c>
      <c r="E33" s="19"/>
      <c r="F33" s="30" t="s">
        <v>98</v>
      </c>
      <c r="G33" s="18">
        <f>H6</f>
        <v>1560</v>
      </c>
      <c r="H33" s="17">
        <f>ROUND(G33*22.86,-1)</f>
        <v>35660</v>
      </c>
      <c r="N33" s="68"/>
    </row>
    <row r="34" spans="1:14" ht="18" customHeight="1">
      <c r="A34" s="19"/>
      <c r="B34" s="77" t="s">
        <v>100</v>
      </c>
      <c r="C34" s="78">
        <f>H7</f>
        <v>600</v>
      </c>
      <c r="D34" s="76">
        <f>ROUND(C34*24,-1)</f>
        <v>14400</v>
      </c>
      <c r="E34" s="19"/>
      <c r="F34" s="30" t="s">
        <v>100</v>
      </c>
      <c r="G34" s="18">
        <f>H7</f>
        <v>600</v>
      </c>
      <c r="H34" s="17">
        <f>ROUND(G34*22.86,-1)</f>
        <v>13720</v>
      </c>
      <c r="N34" s="68"/>
    </row>
    <row r="35" spans="1:14" ht="18" customHeight="1">
      <c r="A35" s="20"/>
      <c r="B35" s="38" t="s">
        <v>5</v>
      </c>
      <c r="C35" s="39"/>
      <c r="D35" s="21">
        <f>SUM(D29:D34)</f>
        <v>131000</v>
      </c>
      <c r="E35" s="20"/>
      <c r="F35" s="38" t="s">
        <v>5</v>
      </c>
      <c r="G35" s="39"/>
      <c r="H35" s="21">
        <f>SUM(H29:H34)</f>
        <v>131560</v>
      </c>
      <c r="N35" s="68"/>
    </row>
    <row r="36" spans="1:14" s="3" customFormat="1" ht="18" customHeight="1">
      <c r="A36" s="15" t="s">
        <v>26</v>
      </c>
      <c r="B36" s="29" t="s">
        <v>4</v>
      </c>
      <c r="C36" s="16">
        <f>H3</f>
        <v>1510</v>
      </c>
      <c r="D36" s="17">
        <f>ROUNDUP(C36*14.35,-1)</f>
        <v>21670</v>
      </c>
      <c r="E36" s="15" t="s">
        <v>102</v>
      </c>
      <c r="F36" s="29" t="s">
        <v>4</v>
      </c>
      <c r="G36" s="16">
        <f>H3</f>
        <v>1510</v>
      </c>
      <c r="H36" s="17">
        <f>ROUNDUP(G36*14,-1)</f>
        <v>21140</v>
      </c>
    </row>
    <row r="37" spans="1:14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4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14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4" s="3" customFormat="1" ht="18" customHeight="1">
      <c r="A40" s="19"/>
      <c r="B40" s="30" t="s">
        <v>98</v>
      </c>
      <c r="C40" s="18">
        <f>H6</f>
        <v>1560</v>
      </c>
      <c r="D40" s="17">
        <f>ROUND(C40*14.35,-1)</f>
        <v>22390</v>
      </c>
      <c r="E40" s="19"/>
      <c r="F40" s="30" t="s">
        <v>98</v>
      </c>
      <c r="G40" s="18">
        <f>H6</f>
        <v>1560</v>
      </c>
      <c r="H40" s="17">
        <f>ROUND(G40*14,-1)</f>
        <v>21840</v>
      </c>
    </row>
    <row r="41" spans="1:14" s="3" customFormat="1" ht="18" customHeight="1">
      <c r="A41" s="19"/>
      <c r="B41" s="30" t="s">
        <v>100</v>
      </c>
      <c r="C41" s="18">
        <f>H7</f>
        <v>600</v>
      </c>
      <c r="D41" s="17">
        <f>ROUND(C41*14.35,-1)</f>
        <v>8610</v>
      </c>
      <c r="E41" s="19"/>
      <c r="F41" s="30" t="s">
        <v>100</v>
      </c>
      <c r="G41" s="18">
        <f>H7</f>
        <v>600</v>
      </c>
      <c r="H41" s="17">
        <f>ROUND(G41*14,-1)</f>
        <v>8400</v>
      </c>
    </row>
    <row r="42" spans="1:14" s="3" customFormat="1" ht="18" customHeight="1">
      <c r="A42" s="20"/>
      <c r="B42" s="38" t="s">
        <v>5</v>
      </c>
      <c r="C42" s="39"/>
      <c r="D42" s="21">
        <f>SUM(D36:D41)</f>
        <v>75350</v>
      </c>
      <c r="E42" s="20"/>
      <c r="F42" s="38" t="s">
        <v>5</v>
      </c>
      <c r="G42" s="39"/>
      <c r="H42" s="21">
        <f>SUM(H36:H41)</f>
        <v>73500</v>
      </c>
    </row>
    <row r="43" spans="1:14" s="3" customFormat="1" ht="18" customHeight="1">
      <c r="A43" s="15" t="s">
        <v>28</v>
      </c>
      <c r="B43" s="29" t="s">
        <v>4</v>
      </c>
      <c r="C43" s="16">
        <f>H3</f>
        <v>1510</v>
      </c>
      <c r="D43" s="17">
        <f>ROUNDUP(C43*24,-1)</f>
        <v>36240</v>
      </c>
      <c r="E43" s="1"/>
    </row>
    <row r="44" spans="1:14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4" s="3" customFormat="1" ht="18" customHeight="1">
      <c r="A45" s="19"/>
      <c r="B45" s="30" t="s">
        <v>35</v>
      </c>
      <c r="C45" s="37"/>
      <c r="D45" s="49">
        <v>16000</v>
      </c>
      <c r="E45" s="1"/>
      <c r="F45" s="71" t="s">
        <v>232</v>
      </c>
      <c r="G45" s="71" t="s">
        <v>233</v>
      </c>
      <c r="H45" s="71" t="s">
        <v>234</v>
      </c>
    </row>
    <row r="46" spans="1:14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  <c r="F46" s="71" t="s">
        <v>23</v>
      </c>
      <c r="G46" s="71" t="s">
        <v>233</v>
      </c>
      <c r="H46" s="71" t="s">
        <v>234</v>
      </c>
    </row>
    <row r="47" spans="1:14" s="3" customFormat="1" ht="18" customHeight="1">
      <c r="A47" s="19"/>
      <c r="B47" s="30" t="s">
        <v>98</v>
      </c>
      <c r="C47" s="18">
        <f>H6</f>
        <v>1560</v>
      </c>
      <c r="D47" s="17">
        <f>ROUND(C47*24,-1)</f>
        <v>37440</v>
      </c>
      <c r="E47" s="1"/>
      <c r="F47" s="71"/>
      <c r="G47" s="71"/>
      <c r="H47" s="71"/>
    </row>
    <row r="48" spans="1:14" s="3" customFormat="1" ht="18" customHeight="1">
      <c r="A48" s="19"/>
      <c r="B48" s="30" t="s">
        <v>100</v>
      </c>
      <c r="C48" s="18">
        <f>H7</f>
        <v>600</v>
      </c>
      <c r="D48" s="17">
        <f>ROUND(C48*24,-1)</f>
        <v>14400</v>
      </c>
      <c r="E48" s="1"/>
      <c r="F48" s="71" t="s">
        <v>235</v>
      </c>
      <c r="G48" s="71" t="s">
        <v>236</v>
      </c>
      <c r="H48" s="71" t="s">
        <v>237</v>
      </c>
    </row>
    <row r="49" spans="1:8" s="3" customFormat="1" ht="18" customHeight="1">
      <c r="A49" s="20"/>
      <c r="B49" s="38" t="s">
        <v>5</v>
      </c>
      <c r="C49" s="39"/>
      <c r="D49" s="21">
        <f>SUM(D43:D48)</f>
        <v>142000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1510</v>
      </c>
      <c r="D53" s="17">
        <f>ROUNDUP(C53*99,-1)</f>
        <v>149490</v>
      </c>
      <c r="E53" s="15" t="s">
        <v>36</v>
      </c>
      <c r="F53" s="29" t="s">
        <v>4</v>
      </c>
      <c r="G53" s="16">
        <f>H3</f>
        <v>1510</v>
      </c>
      <c r="H53" s="17">
        <f>ROUNDUP(G53*59,-1)</f>
        <v>89090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1560</v>
      </c>
      <c r="D57" s="17">
        <f>ROUND(C57*99,-1)</f>
        <v>154440</v>
      </c>
      <c r="E57" s="19"/>
      <c r="F57" s="30" t="s">
        <v>98</v>
      </c>
      <c r="G57" s="18">
        <f>H6</f>
        <v>1560</v>
      </c>
      <c r="H57" s="17">
        <f>ROUND(G57*59,-1)</f>
        <v>92040</v>
      </c>
    </row>
    <row r="58" spans="1:8" s="3" customFormat="1" ht="18" customHeight="1">
      <c r="A58" s="19"/>
      <c r="B58" s="30" t="s">
        <v>100</v>
      </c>
      <c r="C58" s="18">
        <f>H7</f>
        <v>600</v>
      </c>
      <c r="D58" s="17">
        <f>ROUND(C58*99,-1)</f>
        <v>59400</v>
      </c>
      <c r="E58" s="19"/>
      <c r="F58" s="30" t="s">
        <v>100</v>
      </c>
      <c r="G58" s="18">
        <f>H7</f>
        <v>600</v>
      </c>
      <c r="H58" s="17">
        <f>ROUND(G58*59,-1)</f>
        <v>35400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541750</v>
      </c>
      <c r="E59" s="20"/>
      <c r="F59" s="38" t="s">
        <v>5</v>
      </c>
      <c r="G59" s="39"/>
      <c r="H59" s="21">
        <f>SUM(H53:H58)</f>
        <v>325750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1510</v>
      </c>
      <c r="D63" s="17">
        <f>ROUNDUP(C63*52,-1)</f>
        <v>78520</v>
      </c>
      <c r="E63" s="15" t="s">
        <v>40</v>
      </c>
      <c r="F63" s="29" t="s">
        <v>4</v>
      </c>
      <c r="G63" s="16">
        <f>H3</f>
        <v>1510</v>
      </c>
      <c r="H63" s="17">
        <f>ROUNDUP(G63*51,-1)</f>
        <v>77010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1560</v>
      </c>
      <c r="D67" s="17">
        <f>ROUND(C67*52,-1)</f>
        <v>81120</v>
      </c>
      <c r="E67" s="19"/>
      <c r="F67" s="30" t="s">
        <v>98</v>
      </c>
      <c r="G67" s="18">
        <f>H6</f>
        <v>1560</v>
      </c>
      <c r="H67" s="17">
        <f>ROUND(G67*51,-1)</f>
        <v>79560</v>
      </c>
    </row>
    <row r="68" spans="1:8" s="3" customFormat="1" ht="18" customHeight="1">
      <c r="A68" s="19"/>
      <c r="B68" s="30" t="s">
        <v>100</v>
      </c>
      <c r="C68" s="18">
        <f>H7</f>
        <v>600</v>
      </c>
      <c r="D68" s="17">
        <f>ROUND(C68*52,-1)</f>
        <v>31200</v>
      </c>
      <c r="E68" s="19"/>
      <c r="F68" s="30" t="s">
        <v>100</v>
      </c>
      <c r="G68" s="18">
        <f>H7</f>
        <v>600</v>
      </c>
      <c r="H68" s="17">
        <f>ROUND(G68*51,-1)</f>
        <v>30600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279000</v>
      </c>
      <c r="E69" s="20"/>
      <c r="F69" s="38" t="s">
        <v>5</v>
      </c>
      <c r="G69" s="39"/>
      <c r="H69" s="21">
        <f>SUM(H63:H68)</f>
        <v>267750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1510</v>
      </c>
      <c r="D70" s="17">
        <f>ROUNDUP(C70*47,-1)</f>
        <v>70970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1560</v>
      </c>
      <c r="D74" s="17">
        <f>ROUND(C74*47,-1)</f>
        <v>73320</v>
      </c>
      <c r="E74" s="1"/>
    </row>
    <row r="75" spans="1:8" s="3" customFormat="1" ht="18" customHeight="1">
      <c r="A75" s="19"/>
      <c r="B75" s="30" t="s">
        <v>100</v>
      </c>
      <c r="C75" s="18">
        <f>H7</f>
        <v>600</v>
      </c>
      <c r="D75" s="17">
        <f>ROUND(C75*47,-1)</f>
        <v>28200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246750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1510</v>
      </c>
      <c r="D80" s="17">
        <f>ROUNDUP(C80*52,-1)</f>
        <v>78520</v>
      </c>
      <c r="E80" s="15" t="s">
        <v>15</v>
      </c>
      <c r="F80" s="29" t="s">
        <v>4</v>
      </c>
      <c r="G80" s="16">
        <f>H3</f>
        <v>1510</v>
      </c>
      <c r="H80" s="17">
        <f>ROUNDUP(G80*51,-1)</f>
        <v>77010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1560</v>
      </c>
      <c r="D84" s="17">
        <f>ROUND(C84*52,-1)</f>
        <v>81120</v>
      </c>
      <c r="E84" s="19"/>
      <c r="F84" s="30" t="s">
        <v>98</v>
      </c>
      <c r="G84" s="18">
        <f>H6</f>
        <v>1560</v>
      </c>
      <c r="H84" s="17">
        <f>ROUND(G84*51,-1)</f>
        <v>79560</v>
      </c>
    </row>
    <row r="85" spans="1:8" s="3" customFormat="1" ht="18" customHeight="1">
      <c r="A85" s="19"/>
      <c r="B85" s="30" t="s">
        <v>100</v>
      </c>
      <c r="C85" s="18">
        <f>H7</f>
        <v>600</v>
      </c>
      <c r="D85" s="17">
        <f>ROUND(C85*52,-1)</f>
        <v>31200</v>
      </c>
      <c r="E85" s="19"/>
      <c r="F85" s="30" t="s">
        <v>100</v>
      </c>
      <c r="G85" s="18">
        <f>H7</f>
        <v>600</v>
      </c>
      <c r="H85" s="17">
        <f>ROUND(G85*51,-1)</f>
        <v>30600</v>
      </c>
    </row>
    <row r="86" spans="1:8" s="3" customFormat="1" ht="18" customHeight="1">
      <c r="A86" s="20"/>
      <c r="B86" s="38"/>
      <c r="C86" s="39"/>
      <c r="D86" s="21">
        <f>SUM(D80:D85)</f>
        <v>278000</v>
      </c>
      <c r="E86" s="20"/>
      <c r="F86" s="38" t="s">
        <v>5</v>
      </c>
      <c r="G86" s="39"/>
      <c r="H86" s="21">
        <f>SUM(H80:H85)</f>
        <v>279750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1510</v>
      </c>
      <c r="D87" s="17">
        <f>ROUNDUP(C87*49,-1)</f>
        <v>73990</v>
      </c>
      <c r="E87" s="15" t="s">
        <v>45</v>
      </c>
      <c r="F87" s="29" t="s">
        <v>158</v>
      </c>
      <c r="G87" s="16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188</v>
      </c>
      <c r="G88" s="18"/>
      <c r="H88" s="17">
        <v>495000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225</v>
      </c>
      <c r="G89" s="37"/>
      <c r="H89" s="17">
        <v>51000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226</v>
      </c>
      <c r="G90" s="18"/>
      <c r="H90" s="17">
        <v>35000</v>
      </c>
    </row>
    <row r="91" spans="1:8" s="3" customFormat="1" ht="18" customHeight="1">
      <c r="A91" s="19"/>
      <c r="B91" s="30" t="s">
        <v>98</v>
      </c>
      <c r="C91" s="18">
        <f>H6</f>
        <v>1560</v>
      </c>
      <c r="D91" s="17">
        <f>ROUND(C91*47,-1)</f>
        <v>73320</v>
      </c>
      <c r="E91" s="19"/>
      <c r="F91" s="30" t="s">
        <v>230</v>
      </c>
      <c r="G91" s="18"/>
      <c r="H91" s="17">
        <v>48000</v>
      </c>
    </row>
    <row r="92" spans="1:8" s="3" customFormat="1" ht="18" customHeight="1">
      <c r="A92" s="19"/>
      <c r="B92" s="30" t="s">
        <v>100</v>
      </c>
      <c r="C92" s="18">
        <f>H7</f>
        <v>600</v>
      </c>
      <c r="D92" s="17">
        <f>ROUND(C92*47,-1)</f>
        <v>28200</v>
      </c>
      <c r="E92" s="19"/>
      <c r="F92" s="40" t="s">
        <v>231</v>
      </c>
      <c r="G92" s="40"/>
      <c r="H92" s="40">
        <v>36300</v>
      </c>
    </row>
    <row r="93" spans="1:8" s="3" customFormat="1" ht="18" customHeight="1">
      <c r="A93" s="20"/>
      <c r="B93" s="38" t="s">
        <v>5</v>
      </c>
      <c r="C93" s="39"/>
      <c r="D93" s="21">
        <f>SUM(D87:D92)</f>
        <v>270490</v>
      </c>
      <c r="E93" s="20"/>
      <c r="F93" s="38" t="s">
        <v>5</v>
      </c>
      <c r="G93" s="39"/>
      <c r="H93" s="21">
        <f>SUM(H87:H92)</f>
        <v>675300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2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76EB5-D117-41C2-933A-752323835A96}">
  <dimension ref="A1:O150"/>
  <sheetViews>
    <sheetView zoomScaleNormal="100" workbookViewId="0">
      <selection activeCell="D25" sqref="D25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96" t="s">
        <v>198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199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666213</v>
      </c>
      <c r="E3" s="95" t="s">
        <v>52</v>
      </c>
      <c r="F3" s="95"/>
      <c r="G3" s="95"/>
      <c r="H3" s="32">
        <f>ROUNDUP((D7/605)*110%,-1)</f>
        <v>1380</v>
      </c>
    </row>
    <row r="4" spans="1:10" ht="17.100000000000001" customHeight="1">
      <c r="A4" s="84" t="s">
        <v>21</v>
      </c>
      <c r="B4" s="84"/>
      <c r="C4" s="84"/>
      <c r="D4" s="26">
        <f>SUM(D3:D3)</f>
        <v>666213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66621.3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21310</v>
      </c>
      <c r="E6" s="95" t="s">
        <v>99</v>
      </c>
      <c r="F6" s="95"/>
      <c r="G6" s="95"/>
      <c r="H6" s="33">
        <f>ROUNDUP((D12/619)*110%,-1)</f>
        <v>750</v>
      </c>
    </row>
    <row r="7" spans="1:10" ht="17.100000000000001" customHeight="1">
      <c r="A7" s="94" t="s">
        <v>32</v>
      </c>
      <c r="B7" s="94"/>
      <c r="C7" s="94"/>
      <c r="D7" s="28">
        <f>SUM(D4:D6)</f>
        <v>754144.3</v>
      </c>
      <c r="E7" s="95" t="s">
        <v>101</v>
      </c>
      <c r="F7" s="95"/>
      <c r="G7" s="95"/>
      <c r="H7" s="33">
        <v>1000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200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f>H93+200000</f>
        <v>417140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136760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2785114.3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3203580</v>
      </c>
      <c r="L21" s="5"/>
      <c r="N21" s="5">
        <f>D24+H24+D31+H31+D38+H38+D45+D55+H55+D65+H65+D72+D82+H82+D89</f>
        <v>136760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1380</v>
      </c>
      <c r="D22" s="17">
        <f>ROUNDUP(C22*22.86,-1)</f>
        <v>31550</v>
      </c>
      <c r="E22" s="15" t="s">
        <v>13</v>
      </c>
      <c r="F22" s="29" t="s">
        <v>4</v>
      </c>
      <c r="G22" s="16">
        <f>H3</f>
        <v>1380</v>
      </c>
      <c r="H22" s="22">
        <f>ROUNDUP(G22*24,-1)</f>
        <v>33120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0</v>
      </c>
      <c r="E24" s="19"/>
      <c r="F24" s="30" t="s">
        <v>22</v>
      </c>
      <c r="G24" s="37"/>
      <c r="H24" s="49">
        <v>19000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750</v>
      </c>
      <c r="D26" s="17">
        <f>ROUND(C26*22.86,-1)</f>
        <v>17150</v>
      </c>
      <c r="E26" s="19"/>
      <c r="F26" s="30" t="s">
        <v>98</v>
      </c>
      <c r="G26" s="18">
        <f>H6</f>
        <v>750</v>
      </c>
      <c r="H26" s="17">
        <f>ROUND(G26*24,-1)</f>
        <v>18000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107680</v>
      </c>
      <c r="E28" s="20"/>
      <c r="F28" s="38" t="s">
        <v>5</v>
      </c>
      <c r="G28" s="39"/>
      <c r="H28" s="21">
        <f>SUM(H22:H27)</f>
        <v>132040</v>
      </c>
    </row>
    <row r="29" spans="1:15" ht="18" customHeight="1">
      <c r="A29" s="15" t="s">
        <v>23</v>
      </c>
      <c r="B29" s="29" t="s">
        <v>4</v>
      </c>
      <c r="C29" s="16">
        <f>H3</f>
        <v>1380</v>
      </c>
      <c r="D29" s="17">
        <f>ROUNDUP(C29*24,-1)</f>
        <v>33120</v>
      </c>
      <c r="E29" s="15" t="s">
        <v>34</v>
      </c>
      <c r="F29" s="29" t="s">
        <v>4</v>
      </c>
      <c r="G29" s="16">
        <f>H3</f>
        <v>1380</v>
      </c>
      <c r="H29" s="17">
        <f>ROUNDUP(G29*22.86,-1)</f>
        <v>31550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/>
      <c r="E31" s="19"/>
      <c r="F31" s="30" t="s">
        <v>22</v>
      </c>
      <c r="G31" s="37"/>
      <c r="H31" s="49">
        <v>19000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10" ht="18" customHeight="1">
      <c r="A33" s="19"/>
      <c r="B33" s="30" t="s">
        <v>98</v>
      </c>
      <c r="C33" s="18">
        <f>H6</f>
        <v>750</v>
      </c>
      <c r="D33" s="17">
        <f>ROUND(C33*24,-1)</f>
        <v>18000</v>
      </c>
      <c r="E33" s="19"/>
      <c r="F33" s="30" t="s">
        <v>98</v>
      </c>
      <c r="G33" s="18">
        <f>H6</f>
        <v>750</v>
      </c>
      <c r="H33" s="17">
        <f>ROUND(G33*22.86,-1)</f>
        <v>17150</v>
      </c>
    </row>
    <row r="34" spans="1:10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10" ht="18" customHeight="1">
      <c r="A35" s="20"/>
      <c r="B35" s="38" t="s">
        <v>5</v>
      </c>
      <c r="C35" s="39"/>
      <c r="D35" s="21">
        <f>SUM(D29:D34)</f>
        <v>113040</v>
      </c>
      <c r="E35" s="20"/>
      <c r="F35" s="38" t="s">
        <v>5</v>
      </c>
      <c r="G35" s="39"/>
      <c r="H35" s="21">
        <f>SUM(H29:H34)</f>
        <v>126680</v>
      </c>
    </row>
    <row r="36" spans="1:10" s="3" customFormat="1" ht="18" customHeight="1">
      <c r="A36" s="15" t="s">
        <v>26</v>
      </c>
      <c r="B36" s="29" t="s">
        <v>4</v>
      </c>
      <c r="C36" s="16">
        <f>H3</f>
        <v>1380</v>
      </c>
      <c r="D36" s="17">
        <f>ROUNDUP(C36*14.35,-1)</f>
        <v>19810</v>
      </c>
      <c r="E36" s="15" t="s">
        <v>102</v>
      </c>
      <c r="F36" s="29" t="s">
        <v>4</v>
      </c>
      <c r="G36" s="16">
        <f>H3</f>
        <v>1380</v>
      </c>
      <c r="H36" s="17">
        <f>ROUNDUP(G36*14,-1)</f>
        <v>19320</v>
      </c>
    </row>
    <row r="37" spans="1:10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0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10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0" s="3" customFormat="1" ht="18" customHeight="1">
      <c r="A40" s="19"/>
      <c r="B40" s="30" t="s">
        <v>98</v>
      </c>
      <c r="C40" s="18">
        <f>H6</f>
        <v>750</v>
      </c>
      <c r="D40" s="17">
        <f>ROUND(C40*14.35,-1)</f>
        <v>10760</v>
      </c>
      <c r="E40" s="19"/>
      <c r="F40" s="30" t="s">
        <v>98</v>
      </c>
      <c r="G40" s="18">
        <f>H6</f>
        <v>750</v>
      </c>
      <c r="H40" s="17">
        <f>ROUND(G40*14,-1)</f>
        <v>10500</v>
      </c>
    </row>
    <row r="41" spans="1:10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10" s="3" customFormat="1" ht="18" customHeight="1">
      <c r="A42" s="20"/>
      <c r="B42" s="38" t="s">
        <v>5</v>
      </c>
      <c r="C42" s="39"/>
      <c r="D42" s="21">
        <f>SUM(D36:D41)</f>
        <v>67600</v>
      </c>
      <c r="E42" s="20"/>
      <c r="F42" s="38" t="s">
        <v>5</v>
      </c>
      <c r="G42" s="39"/>
      <c r="H42" s="21">
        <f>SUM(H36:H41)</f>
        <v>65940</v>
      </c>
      <c r="J42" s="66"/>
    </row>
    <row r="43" spans="1:10" s="3" customFormat="1" ht="18" customHeight="1">
      <c r="A43" s="15" t="s">
        <v>28</v>
      </c>
      <c r="B43" s="29" t="s">
        <v>4</v>
      </c>
      <c r="C43" s="16">
        <f>H3</f>
        <v>1380</v>
      </c>
      <c r="D43" s="17">
        <f>ROUNDUP(C43*24,-1)</f>
        <v>33120</v>
      </c>
      <c r="E43" s="1"/>
    </row>
    <row r="44" spans="1:10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0" s="3" customFormat="1" ht="18" customHeight="1">
      <c r="A45" s="19"/>
      <c r="B45" s="30" t="s">
        <v>35</v>
      </c>
      <c r="C45" s="37"/>
      <c r="D45" s="49">
        <v>19000</v>
      </c>
      <c r="E45" s="1"/>
    </row>
    <row r="46" spans="1:10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0" s="3" customFormat="1" ht="18" customHeight="1">
      <c r="A47" s="19"/>
      <c r="B47" s="30" t="s">
        <v>98</v>
      </c>
      <c r="C47" s="18">
        <f>H6</f>
        <v>750</v>
      </c>
      <c r="D47" s="17">
        <f>ROUND(C47*24,-1)</f>
        <v>18000</v>
      </c>
      <c r="E47" s="1"/>
    </row>
    <row r="48" spans="1:10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132040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1380</v>
      </c>
      <c r="D53" s="17">
        <f>ROUNDUP(C53*99,-1)</f>
        <v>136620</v>
      </c>
      <c r="E53" s="15" t="s">
        <v>36</v>
      </c>
      <c r="F53" s="29" t="s">
        <v>4</v>
      </c>
      <c r="G53" s="16">
        <f>H3</f>
        <v>1380</v>
      </c>
      <c r="H53" s="17">
        <f>ROUNDUP(G53*59,-1)</f>
        <v>81420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20000</v>
      </c>
      <c r="E55" s="19"/>
      <c r="F55" s="30" t="s">
        <v>35</v>
      </c>
      <c r="G55" s="37"/>
      <c r="H55" s="49">
        <v>17000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750</v>
      </c>
      <c r="D57" s="17">
        <f>ROUND(C57*99,-1)</f>
        <v>74250</v>
      </c>
      <c r="E57" s="19"/>
      <c r="F57" s="30" t="s">
        <v>98</v>
      </c>
      <c r="G57" s="18">
        <f>H6</f>
        <v>750</v>
      </c>
      <c r="H57" s="17">
        <f>ROUND(G57*59,-1)</f>
        <v>44250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486290</v>
      </c>
      <c r="E59" s="20"/>
      <c r="F59" s="38" t="s">
        <v>5</v>
      </c>
      <c r="G59" s="39"/>
      <c r="H59" s="21">
        <f>SUM(H53:H58)</f>
        <v>294890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1380</v>
      </c>
      <c r="D63" s="17">
        <f>ROUNDUP(C63*52,-1)</f>
        <v>71760</v>
      </c>
      <c r="E63" s="15" t="s">
        <v>40</v>
      </c>
      <c r="F63" s="29" t="s">
        <v>4</v>
      </c>
      <c r="G63" s="16">
        <f>H3</f>
        <v>1380</v>
      </c>
      <c r="H63" s="17">
        <f>ROUNDUP(G63*51,-1)</f>
        <v>70380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750</v>
      </c>
      <c r="D67" s="17">
        <f>ROUND(C67*52,-1)</f>
        <v>39000</v>
      </c>
      <c r="E67" s="19"/>
      <c r="F67" s="30" t="s">
        <v>98</v>
      </c>
      <c r="G67" s="18">
        <f>H6</f>
        <v>750</v>
      </c>
      <c r="H67" s="17">
        <f>ROUND(G67*51,-1)</f>
        <v>38250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250920</v>
      </c>
      <c r="E69" s="20"/>
      <c r="F69" s="38" t="s">
        <v>5</v>
      </c>
      <c r="G69" s="39"/>
      <c r="H69" s="21">
        <f>SUM(H63:H68)</f>
        <v>240210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1380</v>
      </c>
      <c r="D70" s="17">
        <f>ROUNDUP(C70*47,-1)</f>
        <v>64860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750</v>
      </c>
      <c r="D74" s="17">
        <f>ROUND(C74*47,-1)</f>
        <v>35250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221370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1380</v>
      </c>
      <c r="D80" s="17">
        <f>ROUNDUP(C80*52,-1)</f>
        <v>71760</v>
      </c>
      <c r="E80" s="15" t="s">
        <v>15</v>
      </c>
      <c r="F80" s="29" t="s">
        <v>4</v>
      </c>
      <c r="G80" s="16">
        <f>H3</f>
        <v>1380</v>
      </c>
      <c r="H80" s="17">
        <f>ROUNDUP(G80*51,-1)</f>
        <v>70380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13760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750</v>
      </c>
      <c r="D84" s="17">
        <f>ROUND(C84*52,-1)</f>
        <v>39000</v>
      </c>
      <c r="E84" s="19"/>
      <c r="F84" s="30" t="s">
        <v>98</v>
      </c>
      <c r="G84" s="18">
        <f>H6</f>
        <v>750</v>
      </c>
      <c r="H84" s="17">
        <f>ROUND(G84*51,-1)</f>
        <v>38250</v>
      </c>
    </row>
    <row r="85" spans="1:8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8" s="3" customFormat="1" ht="18" customHeight="1">
      <c r="A86" s="20"/>
      <c r="B86" s="38"/>
      <c r="C86" s="39"/>
      <c r="D86" s="21">
        <f>SUM(D80:D85)</f>
        <v>249920</v>
      </c>
      <c r="E86" s="20"/>
      <c r="F86" s="38" t="s">
        <v>5</v>
      </c>
      <c r="G86" s="39"/>
      <c r="H86" s="21">
        <f>SUM(H80:H85)</f>
        <v>253970</v>
      </c>
    </row>
    <row r="87" spans="1:8" s="3" customFormat="1" ht="18" customHeight="1">
      <c r="A87" s="15" t="s">
        <v>44</v>
      </c>
      <c r="B87" s="29" t="s">
        <v>4</v>
      </c>
      <c r="C87" s="16">
        <f>H3</f>
        <v>1380</v>
      </c>
      <c r="D87" s="17">
        <f>ROUNDUP(C87*49,-1)</f>
        <v>67620</v>
      </c>
      <c r="E87" s="15" t="s">
        <v>45</v>
      </c>
      <c r="F87" s="29" t="s">
        <v>158</v>
      </c>
      <c r="G87" s="16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239</v>
      </c>
      <c r="G88" s="18"/>
      <c r="H88" s="17">
        <v>129800</v>
      </c>
    </row>
    <row r="89" spans="1:8" s="3" customFormat="1" ht="18" customHeight="1">
      <c r="A89" s="19"/>
      <c r="B89" s="30" t="s">
        <v>35</v>
      </c>
      <c r="C89" s="37"/>
      <c r="D89" s="49">
        <v>18000</v>
      </c>
      <c r="E89" s="19"/>
      <c r="F89" s="30" t="s">
        <v>240</v>
      </c>
      <c r="G89" s="37"/>
      <c r="H89" s="17">
        <v>77340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750</v>
      </c>
      <c r="D91" s="17">
        <f>ROUND(C91*47,-1)</f>
        <v>35250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243850</v>
      </c>
      <c r="E93" s="20"/>
      <c r="F93" s="38" t="s">
        <v>5</v>
      </c>
      <c r="G93" s="39"/>
      <c r="H93" s="21">
        <f>SUM(H87:H90)</f>
        <v>217140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11930-B9A7-489D-AB9A-644EA20B94C0}">
  <dimension ref="A1:S150"/>
  <sheetViews>
    <sheetView zoomScaleNormal="100" workbookViewId="0">
      <selection activeCell="N36" sqref="N36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3" width="8.88671875" style="1"/>
    <col min="14" max="14" width="11.88671875" style="1" bestFit="1" customWidth="1"/>
    <col min="15" max="18" width="8.88671875" style="1"/>
    <col min="19" max="19" width="12.21875" style="1" bestFit="1" customWidth="1"/>
    <col min="20" max="16384" width="8.88671875" style="1"/>
  </cols>
  <sheetData>
    <row r="1" spans="1:19" ht="39.950000000000003" customHeight="1">
      <c r="A1" s="96" t="s">
        <v>185</v>
      </c>
      <c r="B1" s="96"/>
      <c r="C1" s="96"/>
      <c r="D1" s="96"/>
      <c r="E1" s="96"/>
      <c r="F1" s="96"/>
      <c r="G1" s="96"/>
      <c r="H1" s="96"/>
    </row>
    <row r="2" spans="1:19" ht="17.100000000000001" customHeight="1">
      <c r="A2" s="97" t="s">
        <v>51</v>
      </c>
      <c r="B2" s="98"/>
      <c r="C2" s="98"/>
      <c r="D2" s="99"/>
      <c r="E2" s="100" t="s">
        <v>186</v>
      </c>
      <c r="F2" s="100"/>
      <c r="G2" s="100"/>
      <c r="H2" s="100"/>
    </row>
    <row r="3" spans="1:19" ht="17.100000000000001" customHeight="1">
      <c r="A3" s="84" t="s">
        <v>142</v>
      </c>
      <c r="B3" s="84"/>
      <c r="C3" s="84"/>
      <c r="D3" s="48">
        <v>658895</v>
      </c>
      <c r="E3" s="95" t="s">
        <v>52</v>
      </c>
      <c r="F3" s="95"/>
      <c r="G3" s="95"/>
      <c r="H3" s="32">
        <f>ROUNDUP((D7/605)*110%,-1)</f>
        <v>1360</v>
      </c>
    </row>
    <row r="4" spans="1:19" ht="17.100000000000001" customHeight="1">
      <c r="A4" s="84" t="s">
        <v>21</v>
      </c>
      <c r="B4" s="84"/>
      <c r="C4" s="84"/>
      <c r="D4" s="26">
        <f>SUM(D3:D3)</f>
        <v>658895</v>
      </c>
      <c r="E4" s="95" t="s">
        <v>53</v>
      </c>
      <c r="F4" s="95"/>
      <c r="G4" s="95"/>
      <c r="H4" s="33">
        <f>ROUNDUP((SUM(D8:D10)/605)*110%,-1)</f>
        <v>860</v>
      </c>
    </row>
    <row r="5" spans="1:19" ht="17.100000000000001" customHeight="1">
      <c r="A5" s="84" t="s">
        <v>0</v>
      </c>
      <c r="B5" s="84"/>
      <c r="C5" s="84"/>
      <c r="D5" s="26">
        <f>D4*0.1</f>
        <v>65889.5</v>
      </c>
      <c r="E5" s="95" t="s">
        <v>54</v>
      </c>
      <c r="F5" s="95"/>
      <c r="G5" s="95"/>
      <c r="H5" s="33">
        <f>ROUNDUP((D14/619)*110%,-1)</f>
        <v>720</v>
      </c>
    </row>
    <row r="6" spans="1:19" ht="17.100000000000001" customHeight="1">
      <c r="A6" s="84" t="s">
        <v>1</v>
      </c>
      <c r="B6" s="84"/>
      <c r="C6" s="84"/>
      <c r="D6" s="48">
        <v>21080</v>
      </c>
      <c r="E6" s="95" t="s">
        <v>99</v>
      </c>
      <c r="F6" s="95"/>
      <c r="G6" s="95"/>
      <c r="H6" s="33">
        <f>ROUNDUP((D12/619)*110%,-1)</f>
        <v>1100</v>
      </c>
    </row>
    <row r="7" spans="1:19" ht="17.100000000000001" customHeight="1">
      <c r="A7" s="94" t="s">
        <v>32</v>
      </c>
      <c r="B7" s="94"/>
      <c r="C7" s="94"/>
      <c r="D7" s="28">
        <f>SUM(D4:D6)</f>
        <v>745864.5</v>
      </c>
      <c r="E7" s="95" t="s">
        <v>101</v>
      </c>
      <c r="F7" s="95"/>
      <c r="G7" s="95"/>
      <c r="H7" s="33">
        <v>700</v>
      </c>
    </row>
    <row r="8" spans="1:19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9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156</v>
      </c>
      <c r="F9" s="86"/>
      <c r="G9" s="86"/>
      <c r="H9" s="87"/>
    </row>
    <row r="10" spans="1:19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9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9" ht="17.100000000000001" customHeight="1">
      <c r="A12" s="84" t="s">
        <v>97</v>
      </c>
      <c r="B12" s="84"/>
      <c r="C12" s="84"/>
      <c r="D12" s="67">
        <v>618400</v>
      </c>
      <c r="E12" s="88"/>
      <c r="F12" s="89"/>
      <c r="G12" s="89"/>
      <c r="H12" s="90"/>
    </row>
    <row r="13" spans="1:19" ht="17.100000000000001" customHeight="1">
      <c r="A13" s="84" t="s">
        <v>146</v>
      </c>
      <c r="B13" s="84"/>
      <c r="C13" s="84"/>
      <c r="D13" s="67">
        <v>222670</v>
      </c>
      <c r="E13" s="88"/>
      <c r="F13" s="89"/>
      <c r="G13" s="89"/>
      <c r="H13" s="90"/>
      <c r="J13" s="41"/>
      <c r="O13" s="68"/>
    </row>
    <row r="14" spans="1:19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9" ht="17.100000000000001" customHeight="1">
      <c r="A15" s="84"/>
      <c r="B15" s="84"/>
      <c r="C15" s="84"/>
      <c r="D15" s="27"/>
      <c r="E15" s="88"/>
      <c r="F15" s="89"/>
      <c r="G15" s="89"/>
      <c r="H15" s="90"/>
      <c r="S15" s="41"/>
    </row>
    <row r="16" spans="1:19" ht="17.100000000000001" customHeight="1">
      <c r="A16" s="84"/>
      <c r="B16" s="84"/>
      <c r="C16" s="84"/>
      <c r="D16" s="27"/>
      <c r="E16" s="88"/>
      <c r="F16" s="89"/>
      <c r="G16" s="89"/>
      <c r="H16" s="90"/>
      <c r="S16" s="5"/>
    </row>
    <row r="17" spans="1:19" ht="17.100000000000001" customHeight="1">
      <c r="A17" s="84"/>
      <c r="B17" s="84"/>
      <c r="C17" s="84"/>
      <c r="D17" s="27"/>
      <c r="E17" s="88"/>
      <c r="F17" s="89"/>
      <c r="G17" s="89"/>
      <c r="H17" s="90"/>
      <c r="S17" s="41"/>
    </row>
    <row r="18" spans="1:19" s="25" customFormat="1" ht="20.100000000000001" customHeight="1">
      <c r="A18" s="83" t="s">
        <v>8</v>
      </c>
      <c r="B18" s="83"/>
      <c r="C18" s="83"/>
      <c r="D18" s="34">
        <f>SUM(D12:D17)+D7+D11+J22</f>
        <v>2882784.5</v>
      </c>
      <c r="E18" s="91"/>
      <c r="F18" s="92"/>
      <c r="G18" s="92"/>
      <c r="H18" s="93"/>
      <c r="S18" s="69"/>
    </row>
    <row r="19" spans="1:19" ht="17.100000000000001" customHeight="1">
      <c r="A19" s="24"/>
      <c r="B19" s="24"/>
      <c r="C19" s="24"/>
      <c r="D19" s="3"/>
    </row>
    <row r="20" spans="1:19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9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3446160</v>
      </c>
      <c r="L21" s="5"/>
      <c r="N21" s="5">
        <f>D24+H24+D31+H31+D38+H38+D45+D55+H55+D65+H65+D72+D82+H82+D89</f>
        <v>160000</v>
      </c>
      <c r="O21" s="1" t="s">
        <v>106</v>
      </c>
    </row>
    <row r="22" spans="1:19" ht="18" customHeight="1">
      <c r="A22" s="15" t="s">
        <v>11</v>
      </c>
      <c r="B22" s="29" t="s">
        <v>4</v>
      </c>
      <c r="C22" s="16">
        <f>H3</f>
        <v>1360</v>
      </c>
      <c r="D22" s="17">
        <f>ROUNDUP(C22*22.86,-1)</f>
        <v>31090</v>
      </c>
      <c r="E22" s="15" t="s">
        <v>13</v>
      </c>
      <c r="F22" s="29" t="s">
        <v>4</v>
      </c>
      <c r="G22" s="16">
        <f>H3</f>
        <v>1360</v>
      </c>
      <c r="H22" s="22">
        <f>ROUNDUP(G22*24,-1)</f>
        <v>32640</v>
      </c>
      <c r="J22" s="5">
        <f>D27+H27+D34+H34+D41+H41+D48+D58+H58+D68+H68+D75+D85+H85+D92</f>
        <v>422850</v>
      </c>
      <c r="N22" s="5">
        <f>D27+H27+D34+H34+D41+H41+D48+D58+H58+D68+H68+D75+D85+H85+D92</f>
        <v>422850</v>
      </c>
      <c r="O22" s="1" t="s">
        <v>107</v>
      </c>
    </row>
    <row r="23" spans="1:19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  <c r="J23" s="41">
        <f>D7+D11+D12+D13+D14</f>
        <v>2459934.5</v>
      </c>
    </row>
    <row r="24" spans="1:19" ht="18" customHeight="1">
      <c r="A24" s="19"/>
      <c r="B24" s="30" t="s">
        <v>22</v>
      </c>
      <c r="C24" s="37"/>
      <c r="D24" s="49">
        <v>0</v>
      </c>
      <c r="E24" s="19"/>
      <c r="F24" s="30" t="s">
        <v>22</v>
      </c>
      <c r="G24" s="37"/>
      <c r="H24" s="49">
        <v>20000</v>
      </c>
      <c r="N24" s="41"/>
    </row>
    <row r="25" spans="1:19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9" ht="18" customHeight="1">
      <c r="A26" s="19"/>
      <c r="B26" s="30" t="s">
        <v>98</v>
      </c>
      <c r="C26" s="18">
        <f>H6</f>
        <v>1100</v>
      </c>
      <c r="D26" s="17">
        <f>ROUND(C26*22.86,-1)</f>
        <v>25150</v>
      </c>
      <c r="E26" s="19"/>
      <c r="F26" s="30" t="s">
        <v>98</v>
      </c>
      <c r="G26" s="18">
        <f>H6</f>
        <v>1100</v>
      </c>
      <c r="H26" s="17">
        <f>ROUND(G26*24,-1)</f>
        <v>26400</v>
      </c>
      <c r="J26" s="5"/>
    </row>
    <row r="27" spans="1:19" ht="18" customHeight="1">
      <c r="A27" s="19"/>
      <c r="B27" s="30" t="s">
        <v>100</v>
      </c>
      <c r="C27" s="18">
        <f>H7</f>
        <v>700</v>
      </c>
      <c r="D27" s="17">
        <f>ROUND(C27*22.86,-1)</f>
        <v>16000</v>
      </c>
      <c r="E27" s="19"/>
      <c r="F27" s="30" t="s">
        <v>100</v>
      </c>
      <c r="G27" s="18">
        <f>H7</f>
        <v>700</v>
      </c>
      <c r="H27" s="17">
        <f>ROUND(G27*24,-1)</f>
        <v>16800</v>
      </c>
    </row>
    <row r="28" spans="1:19" ht="18" customHeight="1">
      <c r="A28" s="20"/>
      <c r="B28" s="38" t="s">
        <v>5</v>
      </c>
      <c r="C28" s="39"/>
      <c r="D28" s="21">
        <f>SUM(D22:D27)</f>
        <v>108360</v>
      </c>
      <c r="E28" s="20"/>
      <c r="F28" s="38" t="s">
        <v>5</v>
      </c>
      <c r="G28" s="39"/>
      <c r="H28" s="21">
        <f>SUM(H22:H27)</f>
        <v>133760</v>
      </c>
    </row>
    <row r="29" spans="1:19" ht="18" customHeight="1">
      <c r="A29" s="15" t="s">
        <v>23</v>
      </c>
      <c r="B29" s="29" t="s">
        <v>4</v>
      </c>
      <c r="C29" s="16">
        <f>H3</f>
        <v>1360</v>
      </c>
      <c r="D29" s="17">
        <f>ROUNDUP(C29*24,-1)</f>
        <v>32640</v>
      </c>
      <c r="E29" s="15" t="s">
        <v>34</v>
      </c>
      <c r="F29" s="29" t="s">
        <v>4</v>
      </c>
      <c r="G29" s="16">
        <f>H3</f>
        <v>1360</v>
      </c>
      <c r="H29" s="17">
        <f>ROUNDUP(G29*22.86,-1)</f>
        <v>31090</v>
      </c>
    </row>
    <row r="30" spans="1:19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9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20000</v>
      </c>
    </row>
    <row r="32" spans="1:19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1100</v>
      </c>
      <c r="D33" s="17">
        <f>ROUND(C33*24,-1)</f>
        <v>26400</v>
      </c>
      <c r="E33" s="19"/>
      <c r="F33" s="30" t="s">
        <v>98</v>
      </c>
      <c r="G33" s="18">
        <f>H6</f>
        <v>1100</v>
      </c>
      <c r="H33" s="17">
        <f>ROUND(G33*22.86,-1)</f>
        <v>25150</v>
      </c>
    </row>
    <row r="34" spans="1:8" ht="18" customHeight="1">
      <c r="A34" s="19"/>
      <c r="B34" s="30" t="s">
        <v>100</v>
      </c>
      <c r="C34" s="18">
        <f>H7</f>
        <v>700</v>
      </c>
      <c r="D34" s="17">
        <f>ROUND(C34*24,-1)</f>
        <v>16800</v>
      </c>
      <c r="E34" s="19"/>
      <c r="F34" s="30" t="s">
        <v>100</v>
      </c>
      <c r="G34" s="18">
        <f>H7</f>
        <v>700</v>
      </c>
      <c r="H34" s="17">
        <f>ROUND(G34*22.86,-1)</f>
        <v>16000</v>
      </c>
    </row>
    <row r="35" spans="1:8" ht="18" customHeight="1">
      <c r="A35" s="20"/>
      <c r="B35" s="38" t="s">
        <v>5</v>
      </c>
      <c r="C35" s="39"/>
      <c r="D35" s="21">
        <f>SUM(D29:D34)</f>
        <v>118760</v>
      </c>
      <c r="E35" s="20"/>
      <c r="F35" s="38" t="s">
        <v>5</v>
      </c>
      <c r="G35" s="39"/>
      <c r="H35" s="21">
        <f>SUM(H29:H34)</f>
        <v>128360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1360</v>
      </c>
      <c r="D36" s="17">
        <f>ROUNDUP(C36*14.35,-1)</f>
        <v>19520</v>
      </c>
      <c r="E36" s="15" t="s">
        <v>102</v>
      </c>
      <c r="F36" s="29" t="s">
        <v>4</v>
      </c>
      <c r="G36" s="16">
        <f>H3</f>
        <v>1360</v>
      </c>
      <c r="H36" s="17">
        <f>ROUNDUP(G36*14,-1)</f>
        <v>19040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1100</v>
      </c>
      <c r="D40" s="17">
        <f>ROUND(C40*14.35,-1)</f>
        <v>15790</v>
      </c>
      <c r="E40" s="19"/>
      <c r="F40" s="30" t="s">
        <v>98</v>
      </c>
      <c r="G40" s="18">
        <f>H6</f>
        <v>1100</v>
      </c>
      <c r="H40" s="17">
        <f>ROUND(G40*14,-1)</f>
        <v>15400</v>
      </c>
    </row>
    <row r="41" spans="1:8" s="3" customFormat="1" ht="18" customHeight="1">
      <c r="A41" s="19"/>
      <c r="B41" s="30" t="s">
        <v>100</v>
      </c>
      <c r="C41" s="18">
        <f>H7</f>
        <v>700</v>
      </c>
      <c r="D41" s="17">
        <f>ROUND(C41*14.35,-1)</f>
        <v>10050</v>
      </c>
      <c r="E41" s="19"/>
      <c r="F41" s="30" t="s">
        <v>100</v>
      </c>
      <c r="G41" s="18">
        <f>H7</f>
        <v>700</v>
      </c>
      <c r="H41" s="17">
        <f>ROUND(G41*14,-1)</f>
        <v>9800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68040</v>
      </c>
      <c r="E42" s="20"/>
      <c r="F42" s="38" t="s">
        <v>5</v>
      </c>
      <c r="G42" s="39"/>
      <c r="H42" s="21">
        <f>SUM(H36:H41)</f>
        <v>66360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1360</v>
      </c>
      <c r="D43" s="17">
        <f>ROUNDUP(C43*24,-1)</f>
        <v>32640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20000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1100</v>
      </c>
      <c r="D47" s="17">
        <f>ROUND(C47*24,-1)</f>
        <v>26400</v>
      </c>
      <c r="E47" s="1"/>
    </row>
    <row r="48" spans="1:8" s="3" customFormat="1" ht="18" customHeight="1">
      <c r="A48" s="19"/>
      <c r="B48" s="30" t="s">
        <v>100</v>
      </c>
      <c r="C48" s="18">
        <f>H7</f>
        <v>700</v>
      </c>
      <c r="D48" s="17">
        <f>ROUND(C48*24,-1)</f>
        <v>16800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133760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1360</v>
      </c>
      <c r="D53" s="17">
        <f>ROUNDUP(C53*99,-1)</f>
        <v>134640</v>
      </c>
      <c r="E53" s="15" t="s">
        <v>36</v>
      </c>
      <c r="F53" s="29" t="s">
        <v>4</v>
      </c>
      <c r="G53" s="16">
        <f>H3</f>
        <v>1360</v>
      </c>
      <c r="H53" s="17">
        <f>ROUNDUP(G53*59,-1)</f>
        <v>80240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25000</v>
      </c>
      <c r="E55" s="19"/>
      <c r="F55" s="30" t="s">
        <v>35</v>
      </c>
      <c r="G55" s="37"/>
      <c r="H55" s="49">
        <v>20000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1100</v>
      </c>
      <c r="D57" s="17">
        <f>ROUND(C57*99,-1)</f>
        <v>108900</v>
      </c>
      <c r="E57" s="19"/>
      <c r="F57" s="30" t="s">
        <v>98</v>
      </c>
      <c r="G57" s="18">
        <f>H6</f>
        <v>1100</v>
      </c>
      <c r="H57" s="17">
        <f>ROUND(G57*59,-1)</f>
        <v>64900</v>
      </c>
    </row>
    <row r="58" spans="1:8" s="3" customFormat="1" ht="18" customHeight="1">
      <c r="A58" s="19"/>
      <c r="B58" s="30" t="s">
        <v>100</v>
      </c>
      <c r="C58" s="18">
        <f>H7</f>
        <v>700</v>
      </c>
      <c r="D58" s="17">
        <f>ROUND(C58*99,-1)</f>
        <v>69300</v>
      </c>
      <c r="E58" s="19"/>
      <c r="F58" s="30" t="s">
        <v>100</v>
      </c>
      <c r="G58" s="18">
        <f>H7</f>
        <v>700</v>
      </c>
      <c r="H58" s="17">
        <f>ROUND(G58*59,-1)</f>
        <v>41300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494260</v>
      </c>
      <c r="E59" s="20"/>
      <c r="F59" s="38" t="s">
        <v>5</v>
      </c>
      <c r="G59" s="39"/>
      <c r="H59" s="21">
        <f>SUM(H53:H58)</f>
        <v>299660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1360</v>
      </c>
      <c r="D63" s="17">
        <f>ROUNDUP(C63*52,-1)</f>
        <v>70720</v>
      </c>
      <c r="E63" s="15" t="s">
        <v>40</v>
      </c>
      <c r="F63" s="29" t="s">
        <v>4</v>
      </c>
      <c r="G63" s="16">
        <f>H3</f>
        <v>1360</v>
      </c>
      <c r="H63" s="17">
        <f>ROUNDUP(G63*51,-1)</f>
        <v>69360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10000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1100</v>
      </c>
      <c r="D67" s="17">
        <f>ROUND(C67*52,-1)</f>
        <v>57200</v>
      </c>
      <c r="E67" s="19"/>
      <c r="F67" s="30" t="s">
        <v>98</v>
      </c>
      <c r="G67" s="18">
        <f>H6</f>
        <v>1100</v>
      </c>
      <c r="H67" s="17">
        <f>ROUND(G67*51,-1)</f>
        <v>56100</v>
      </c>
    </row>
    <row r="68" spans="1:8" s="3" customFormat="1" ht="18" customHeight="1">
      <c r="A68" s="19"/>
      <c r="B68" s="30" t="s">
        <v>100</v>
      </c>
      <c r="C68" s="18">
        <f>H7</f>
        <v>700</v>
      </c>
      <c r="D68" s="17">
        <f>ROUND(C68*52,-1)</f>
        <v>36400</v>
      </c>
      <c r="E68" s="19"/>
      <c r="F68" s="30" t="s">
        <v>100</v>
      </c>
      <c r="G68" s="18">
        <f>H7</f>
        <v>700</v>
      </c>
      <c r="H68" s="17">
        <f>ROUND(G68*51,-1)</f>
        <v>35700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256480</v>
      </c>
      <c r="E69" s="20"/>
      <c r="F69" s="38" t="s">
        <v>5</v>
      </c>
      <c r="G69" s="39"/>
      <c r="H69" s="21">
        <f>SUM(H63:H68)</f>
        <v>241740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1360</v>
      </c>
      <c r="D70" s="17">
        <f>ROUNDUP(C70*47,-1)</f>
        <v>63920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  <c r="F71" s="71"/>
    </row>
    <row r="72" spans="1:8" s="3" customFormat="1" ht="18" customHeight="1">
      <c r="A72" s="19"/>
      <c r="B72" s="30" t="s">
        <v>35</v>
      </c>
      <c r="C72" s="37"/>
      <c r="D72" s="49"/>
      <c r="E72" s="5"/>
      <c r="F72" s="71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  <c r="F73" s="71"/>
    </row>
    <row r="74" spans="1:8" s="3" customFormat="1" ht="18" customHeight="1">
      <c r="A74" s="19"/>
      <c r="B74" s="30" t="s">
        <v>98</v>
      </c>
      <c r="C74" s="18">
        <f>H6</f>
        <v>1100</v>
      </c>
      <c r="D74" s="17">
        <f>ROUND(C74*47,-1)</f>
        <v>51700</v>
      </c>
      <c r="E74" s="1"/>
      <c r="F74" s="71"/>
    </row>
    <row r="75" spans="1:8" s="3" customFormat="1" ht="18" customHeight="1">
      <c r="A75" s="19"/>
      <c r="B75" s="30" t="s">
        <v>100</v>
      </c>
      <c r="C75" s="18">
        <f>H7</f>
        <v>700</v>
      </c>
      <c r="D75" s="17">
        <f>ROUND(C75*47,-1)</f>
        <v>32900</v>
      </c>
      <c r="E75" s="1"/>
      <c r="F75" s="7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222780</v>
      </c>
      <c r="E76" s="1"/>
      <c r="F76" s="71"/>
    </row>
    <row r="77" spans="1:8" s="3" customFormat="1" ht="17.100000000000001" customHeight="1">
      <c r="A77" s="1"/>
      <c r="E77" s="1"/>
      <c r="F77" s="7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1360</v>
      </c>
      <c r="D80" s="17">
        <f>ROUNDUP(C80*52,-1)</f>
        <v>70720</v>
      </c>
      <c r="E80" s="15" t="s">
        <v>15</v>
      </c>
      <c r="F80" s="29" t="s">
        <v>4</v>
      </c>
      <c r="G80" s="16">
        <f>H3</f>
        <v>1360</v>
      </c>
      <c r="H80" s="17">
        <f>ROUNDUP(G80*51,-1)</f>
        <v>69360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15000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1100</v>
      </c>
      <c r="D84" s="17">
        <f>ROUND(C84*52,-1)</f>
        <v>57200</v>
      </c>
      <c r="E84" s="19"/>
      <c r="F84" s="30" t="s">
        <v>98</v>
      </c>
      <c r="G84" s="18">
        <f>H6</f>
        <v>1100</v>
      </c>
      <c r="H84" s="17">
        <f>ROUND(G84*51,-1)</f>
        <v>56100</v>
      </c>
    </row>
    <row r="85" spans="1:8" s="3" customFormat="1" ht="18" customHeight="1">
      <c r="A85" s="19"/>
      <c r="B85" s="30" t="s">
        <v>100</v>
      </c>
      <c r="C85" s="18">
        <f>H7</f>
        <v>700</v>
      </c>
      <c r="D85" s="17">
        <f>ROUND(C85*52,-1)</f>
        <v>36400</v>
      </c>
      <c r="E85" s="19"/>
      <c r="F85" s="30" t="s">
        <v>100</v>
      </c>
      <c r="G85" s="18">
        <f>H7</f>
        <v>700</v>
      </c>
      <c r="H85" s="17">
        <f>ROUND(G85*51,-1)</f>
        <v>35700</v>
      </c>
    </row>
    <row r="86" spans="1:8" s="3" customFormat="1" ht="18" customHeight="1">
      <c r="A86" s="20"/>
      <c r="B86" s="38"/>
      <c r="C86" s="39"/>
      <c r="D86" s="21">
        <f>SUM(D80:D85)</f>
        <v>251480</v>
      </c>
      <c r="E86" s="20"/>
      <c r="F86" s="38" t="s">
        <v>5</v>
      </c>
      <c r="G86" s="39"/>
      <c r="H86" s="21">
        <f>SUM(H80:H85)</f>
        <v>256740</v>
      </c>
    </row>
    <row r="87" spans="1:8" s="3" customFormat="1" ht="18" customHeight="1">
      <c r="A87" s="15" t="s">
        <v>44</v>
      </c>
      <c r="B87" s="29" t="s">
        <v>4</v>
      </c>
      <c r="C87" s="16">
        <f>H3</f>
        <v>1360</v>
      </c>
      <c r="D87" s="17">
        <f>ROUNDUP(C87*49,-1)</f>
        <v>66640</v>
      </c>
      <c r="E87" s="15" t="s">
        <v>45</v>
      </c>
      <c r="F87" s="29" t="s">
        <v>159</v>
      </c>
      <c r="G87" s="16"/>
      <c r="H87" s="17">
        <v>10500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241</v>
      </c>
      <c r="G88" s="18"/>
      <c r="H88" s="17">
        <v>407900</v>
      </c>
    </row>
    <row r="89" spans="1:8" s="3" customFormat="1" ht="18" customHeight="1">
      <c r="A89" s="19"/>
      <c r="B89" s="30" t="s">
        <v>35</v>
      </c>
      <c r="C89" s="37"/>
      <c r="D89" s="49">
        <v>20000</v>
      </c>
      <c r="E89" s="19"/>
      <c r="F89" s="30" t="s">
        <v>242</v>
      </c>
      <c r="G89" s="37"/>
      <c r="H89" s="17"/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1100</v>
      </c>
      <c r="D91" s="17">
        <f>ROUND(C91*47,-1)</f>
        <v>51700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700</v>
      </c>
      <c r="D92" s="17">
        <f>ROUND(C92*47,-1)</f>
        <v>32900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247220</v>
      </c>
      <c r="E93" s="20"/>
      <c r="F93" s="38" t="s">
        <v>5</v>
      </c>
      <c r="G93" s="39"/>
      <c r="H93" s="21">
        <f>SUM(H87:H90)</f>
        <v>418400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B3333-2F58-4792-B667-D34BA1889615}">
  <dimension ref="A1:V150"/>
  <sheetViews>
    <sheetView zoomScaleNormal="100" workbookViewId="0">
      <selection activeCell="D25" sqref="D25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4" width="8.88671875" style="1"/>
    <col min="15" max="15" width="11.44140625" style="1" bestFit="1" customWidth="1"/>
    <col min="16" max="20" width="8.88671875" style="1"/>
    <col min="21" max="22" width="11.88671875" style="1" bestFit="1" customWidth="1"/>
    <col min="23" max="16384" width="8.88671875" style="1"/>
  </cols>
  <sheetData>
    <row r="1" spans="1:10" ht="39.950000000000003" customHeight="1">
      <c r="A1" s="96" t="s">
        <v>201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202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684358</v>
      </c>
      <c r="E3" s="95" t="s">
        <v>52</v>
      </c>
      <c r="F3" s="95"/>
      <c r="G3" s="95"/>
      <c r="H3" s="32">
        <f>ROUNDUP((D7/605)*110%,-1)</f>
        <v>1410</v>
      </c>
    </row>
    <row r="4" spans="1:10" ht="17.100000000000001" customHeight="1">
      <c r="A4" s="84" t="s">
        <v>21</v>
      </c>
      <c r="B4" s="84"/>
      <c r="C4" s="84"/>
      <c r="D4" s="26">
        <f>SUM(D3:D3)</f>
        <v>684358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68435.8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21890</v>
      </c>
      <c r="E6" s="95" t="s">
        <v>99</v>
      </c>
      <c r="F6" s="95"/>
      <c r="G6" s="95"/>
      <c r="H6" s="33">
        <f>ROUNDUP((D12/619)*110%,-1)</f>
        <v>1470</v>
      </c>
    </row>
    <row r="7" spans="1:10" ht="17.100000000000001" customHeight="1">
      <c r="A7" s="94" t="s">
        <v>32</v>
      </c>
      <c r="B7" s="94"/>
      <c r="C7" s="94"/>
      <c r="D7" s="28">
        <f>SUM(D4:D6)</f>
        <v>774683.8</v>
      </c>
      <c r="E7" s="95" t="s">
        <v>101</v>
      </c>
      <c r="F7" s="95"/>
      <c r="G7" s="95"/>
      <c r="H7" s="33">
        <v>800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203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v>823340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222670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70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22" ht="17.100000000000001" customHeight="1">
      <c r="A17" s="84"/>
      <c r="B17" s="84"/>
      <c r="C17" s="84"/>
      <c r="D17" s="27"/>
      <c r="E17" s="88"/>
      <c r="F17" s="89"/>
      <c r="G17" s="89"/>
      <c r="H17" s="90"/>
      <c r="V17" s="41"/>
    </row>
    <row r="18" spans="1:22" s="25" customFormat="1" ht="20.100000000000001" customHeight="1">
      <c r="A18" s="83" t="s">
        <v>8</v>
      </c>
      <c r="B18" s="83"/>
      <c r="C18" s="83"/>
      <c r="D18" s="34">
        <f>SUM(D12:D17)+D7+D11+J22</f>
        <v>3176953.8</v>
      </c>
      <c r="E18" s="91"/>
      <c r="F18" s="92"/>
      <c r="G18" s="92"/>
      <c r="H18" s="93"/>
    </row>
    <row r="19" spans="1:22" ht="17.100000000000001" customHeight="1">
      <c r="A19" s="24"/>
      <c r="B19" s="24"/>
      <c r="C19" s="24"/>
      <c r="D19" s="3"/>
    </row>
    <row r="20" spans="1:22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22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3959310</v>
      </c>
      <c r="L21" s="5"/>
      <c r="N21" s="5">
        <f>D24+H24+D31+H31+D38+H38+D45+D55+H55+D65+H65+D72+D82+H82+D89</f>
        <v>154000</v>
      </c>
      <c r="O21" s="1" t="s">
        <v>106</v>
      </c>
      <c r="P21" s="1" t="s">
        <v>162</v>
      </c>
      <c r="U21" s="41"/>
    </row>
    <row r="22" spans="1:22" ht="18" customHeight="1">
      <c r="A22" s="15" t="s">
        <v>11</v>
      </c>
      <c r="B22" s="29" t="s">
        <v>4</v>
      </c>
      <c r="C22" s="16">
        <f>H3</f>
        <v>1410</v>
      </c>
      <c r="D22" s="17">
        <f>ROUNDUP(C22*22.86,-1)</f>
        <v>32240</v>
      </c>
      <c r="E22" s="15" t="s">
        <v>13</v>
      </c>
      <c r="F22" s="29" t="s">
        <v>4</v>
      </c>
      <c r="G22" s="16">
        <f>H3</f>
        <v>1410</v>
      </c>
      <c r="H22" s="22">
        <f>ROUNDUP(G22*24,-1)</f>
        <v>33840</v>
      </c>
      <c r="J22" s="5">
        <f>D27+H27+D34+H34+D41+H41+D48+D58+H58+D68+H68+D75+D85+H85+D92</f>
        <v>483260</v>
      </c>
      <c r="N22" s="5">
        <f>D27+H27+D34+H34+D41+H41+D48+D58+H58+D68+H68+D75+D85+H85+D92</f>
        <v>483260</v>
      </c>
      <c r="O22" s="1" t="s">
        <v>107</v>
      </c>
    </row>
    <row r="23" spans="1:22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22" ht="18" customHeight="1">
      <c r="A24" s="19"/>
      <c r="B24" s="30" t="s">
        <v>22</v>
      </c>
      <c r="C24" s="37"/>
      <c r="D24" s="49">
        <v>0</v>
      </c>
      <c r="E24" s="19"/>
      <c r="F24" s="30" t="s">
        <v>22</v>
      </c>
      <c r="G24" s="37"/>
      <c r="H24" s="49">
        <v>18000</v>
      </c>
    </row>
    <row r="25" spans="1:22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2" ht="18" customHeight="1">
      <c r="A26" s="19"/>
      <c r="B26" s="30" t="s">
        <v>98</v>
      </c>
      <c r="C26" s="18">
        <f>H6</f>
        <v>1470</v>
      </c>
      <c r="D26" s="17">
        <f>ROUND(C26*22.86,-1)</f>
        <v>33600</v>
      </c>
      <c r="E26" s="19"/>
      <c r="F26" s="30" t="s">
        <v>98</v>
      </c>
      <c r="G26" s="18">
        <f>H6</f>
        <v>1470</v>
      </c>
      <c r="H26" s="17">
        <f>ROUND(G26*24,-1)</f>
        <v>35280</v>
      </c>
      <c r="J26" s="5"/>
    </row>
    <row r="27" spans="1:22" ht="18" customHeight="1">
      <c r="A27" s="19"/>
      <c r="B27" s="30" t="s">
        <v>100</v>
      </c>
      <c r="C27" s="18">
        <f>H7</f>
        <v>800</v>
      </c>
      <c r="D27" s="17">
        <f>ROUND(C27*22.86,-1)</f>
        <v>18290</v>
      </c>
      <c r="E27" s="19"/>
      <c r="F27" s="30" t="s">
        <v>100</v>
      </c>
      <c r="G27" s="18">
        <f>H7</f>
        <v>800</v>
      </c>
      <c r="H27" s="17">
        <f>ROUND(G27*24,-1)</f>
        <v>19200</v>
      </c>
      <c r="N27" s="5">
        <f>D13-N21</f>
        <v>68670</v>
      </c>
      <c r="O27" s="1" t="s">
        <v>160</v>
      </c>
    </row>
    <row r="28" spans="1:22" ht="18" customHeight="1">
      <c r="A28" s="20"/>
      <c r="B28" s="38" t="s">
        <v>5</v>
      </c>
      <c r="C28" s="39"/>
      <c r="D28" s="21">
        <f>SUM(D22:D27)</f>
        <v>120250</v>
      </c>
      <c r="E28" s="20"/>
      <c r="F28" s="38" t="s">
        <v>5</v>
      </c>
      <c r="G28" s="39"/>
      <c r="H28" s="21">
        <f>SUM(H22:H27)</f>
        <v>144240</v>
      </c>
      <c r="N28" s="68">
        <v>42670</v>
      </c>
      <c r="O28" s="1" t="s">
        <v>244</v>
      </c>
    </row>
    <row r="29" spans="1:22" ht="18" customHeight="1">
      <c r="A29" s="15" t="s">
        <v>23</v>
      </c>
      <c r="B29" s="29" t="s">
        <v>4</v>
      </c>
      <c r="C29" s="16">
        <f>H3</f>
        <v>1410</v>
      </c>
      <c r="D29" s="17">
        <f>ROUNDUP(C29*24,-1)</f>
        <v>33840</v>
      </c>
      <c r="E29" s="15" t="s">
        <v>34</v>
      </c>
      <c r="F29" s="29" t="s">
        <v>4</v>
      </c>
      <c r="G29" s="16">
        <f>H3</f>
        <v>1410</v>
      </c>
      <c r="H29" s="17">
        <f>ROUNDUP(G29*22.86,-1)</f>
        <v>32240</v>
      </c>
      <c r="N29" s="5">
        <f>SUM(N27:N28)</f>
        <v>111340</v>
      </c>
      <c r="O29" s="1" t="s">
        <v>245</v>
      </c>
    </row>
    <row r="30" spans="1:22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2" ht="18" customHeight="1">
      <c r="A31" s="19"/>
      <c r="B31" s="30" t="s">
        <v>22</v>
      </c>
      <c r="C31" s="37"/>
      <c r="D31" s="49">
        <v>0</v>
      </c>
      <c r="E31" s="19"/>
      <c r="F31" s="30" t="s">
        <v>22</v>
      </c>
      <c r="G31" s="37"/>
      <c r="H31" s="49">
        <v>18000</v>
      </c>
    </row>
    <row r="32" spans="1:22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1470</v>
      </c>
      <c r="D33" s="17">
        <f>ROUND(C33*24,-1)</f>
        <v>35280</v>
      </c>
      <c r="E33" s="19"/>
      <c r="F33" s="30" t="s">
        <v>98</v>
      </c>
      <c r="G33" s="18">
        <f>H6</f>
        <v>1470</v>
      </c>
      <c r="H33" s="17">
        <f>ROUND(G33*22.86,-1)</f>
        <v>33600</v>
      </c>
    </row>
    <row r="34" spans="1:8" ht="18" customHeight="1">
      <c r="A34" s="19"/>
      <c r="B34" s="30" t="s">
        <v>100</v>
      </c>
      <c r="C34" s="18">
        <f>H7</f>
        <v>800</v>
      </c>
      <c r="D34" s="17">
        <f>ROUND(C34*24,-1)</f>
        <v>19200</v>
      </c>
      <c r="E34" s="19"/>
      <c r="F34" s="30" t="s">
        <v>100</v>
      </c>
      <c r="G34" s="18">
        <f>H7</f>
        <v>800</v>
      </c>
      <c r="H34" s="17">
        <f>ROUND(G34*22.86,-1)</f>
        <v>18290</v>
      </c>
    </row>
    <row r="35" spans="1:8" ht="18" customHeight="1">
      <c r="A35" s="20"/>
      <c r="B35" s="38" t="s">
        <v>5</v>
      </c>
      <c r="C35" s="39"/>
      <c r="D35" s="21">
        <f>SUM(D29:D34)</f>
        <v>126240</v>
      </c>
      <c r="E35" s="20"/>
      <c r="F35" s="38" t="s">
        <v>5</v>
      </c>
      <c r="G35" s="39"/>
      <c r="H35" s="21">
        <f>SUM(H29:H34)</f>
        <v>138250</v>
      </c>
    </row>
    <row r="36" spans="1:8" s="3" customFormat="1" ht="18" customHeight="1">
      <c r="A36" s="15" t="s">
        <v>26</v>
      </c>
      <c r="B36" s="29" t="s">
        <v>4</v>
      </c>
      <c r="C36" s="16">
        <f>H3</f>
        <v>1410</v>
      </c>
      <c r="D36" s="17">
        <f>ROUNDUP(C36*14.35,-1)</f>
        <v>20240</v>
      </c>
      <c r="E36" s="15" t="s">
        <v>102</v>
      </c>
      <c r="F36" s="29" t="s">
        <v>4</v>
      </c>
      <c r="G36" s="16">
        <f>H3</f>
        <v>1410</v>
      </c>
      <c r="H36" s="17">
        <f>ROUNDUP(G36*14,-1)</f>
        <v>19740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v>12040</v>
      </c>
    </row>
    <row r="38" spans="1:8" s="3" customFormat="1" ht="18" customHeight="1">
      <c r="A38" s="19"/>
      <c r="B38" s="30" t="s">
        <v>35</v>
      </c>
      <c r="C38" s="37"/>
      <c r="D38" s="49">
        <v>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1470</v>
      </c>
      <c r="D40" s="17">
        <f>ROUND(C40*14.35,-1)</f>
        <v>21090</v>
      </c>
      <c r="E40" s="19"/>
      <c r="F40" s="30" t="s">
        <v>98</v>
      </c>
      <c r="G40" s="18">
        <f>H6</f>
        <v>1470</v>
      </c>
      <c r="H40" s="17">
        <f>ROUND(G40*14,-1)</f>
        <v>20580</v>
      </c>
    </row>
    <row r="41" spans="1:8" s="3" customFormat="1" ht="18" customHeight="1">
      <c r="A41" s="19"/>
      <c r="B41" s="30" t="s">
        <v>100</v>
      </c>
      <c r="C41" s="18">
        <f>H7</f>
        <v>800</v>
      </c>
      <c r="D41" s="17">
        <f>ROUND(C41*14.35,-1)</f>
        <v>11480</v>
      </c>
      <c r="E41" s="19"/>
      <c r="F41" s="30" t="s">
        <v>100</v>
      </c>
      <c r="G41" s="18">
        <f>H7</f>
        <v>800</v>
      </c>
      <c r="H41" s="17">
        <f>ROUND(G41*14,-1)</f>
        <v>11200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75490</v>
      </c>
      <c r="E42" s="20"/>
      <c r="F42" s="38" t="s">
        <v>5</v>
      </c>
      <c r="G42" s="39"/>
      <c r="H42" s="21">
        <f>SUM(H36:H41)</f>
        <v>73640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1410</v>
      </c>
      <c r="D43" s="17">
        <f>ROUNDUP(C43*24,-1)</f>
        <v>33840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18000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1470</v>
      </c>
      <c r="D47" s="17">
        <f>ROUND(C47*24,-1)</f>
        <v>35280</v>
      </c>
      <c r="E47" s="1"/>
    </row>
    <row r="48" spans="1:8" s="3" customFormat="1" ht="18" customHeight="1">
      <c r="A48" s="19"/>
      <c r="B48" s="30" t="s">
        <v>100</v>
      </c>
      <c r="C48" s="18">
        <f>H7</f>
        <v>800</v>
      </c>
      <c r="D48" s="17">
        <f>ROUND(C48*24,-1)</f>
        <v>19200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144240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1410</v>
      </c>
      <c r="D53" s="17">
        <f>ROUNDUP(C53*99,-1)</f>
        <v>139590</v>
      </c>
      <c r="E53" s="15" t="s">
        <v>36</v>
      </c>
      <c r="F53" s="29" t="s">
        <v>4</v>
      </c>
      <c r="G53" s="16">
        <f>H3</f>
        <v>1410</v>
      </c>
      <c r="H53" s="17">
        <f>ROUNDUP(G53*59,-1)</f>
        <v>83190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25000</v>
      </c>
      <c r="E55" s="19"/>
      <c r="F55" s="30" t="s">
        <v>35</v>
      </c>
      <c r="G55" s="37"/>
      <c r="H55" s="49">
        <v>20000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1470</v>
      </c>
      <c r="D57" s="17">
        <f>ROUND(C57*99,-1)</f>
        <v>145530</v>
      </c>
      <c r="E57" s="19"/>
      <c r="F57" s="30" t="s">
        <v>98</v>
      </c>
      <c r="G57" s="18">
        <f>H6</f>
        <v>1470</v>
      </c>
      <c r="H57" s="17">
        <f>ROUND(G57*59,-1)</f>
        <v>86730</v>
      </c>
    </row>
    <row r="58" spans="1:8" s="3" customFormat="1" ht="18" customHeight="1">
      <c r="A58" s="19"/>
      <c r="B58" s="30" t="s">
        <v>100</v>
      </c>
      <c r="C58" s="18">
        <f>H7</f>
        <v>800</v>
      </c>
      <c r="D58" s="17">
        <f>ROUND(C58*99,-1)</f>
        <v>79200</v>
      </c>
      <c r="E58" s="19"/>
      <c r="F58" s="30" t="s">
        <v>100</v>
      </c>
      <c r="G58" s="18">
        <f>H7</f>
        <v>800</v>
      </c>
      <c r="H58" s="17">
        <f>ROUND(G58*59,-1)</f>
        <v>47200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545740</v>
      </c>
      <c r="E59" s="20"/>
      <c r="F59" s="38" t="s">
        <v>5</v>
      </c>
      <c r="G59" s="39"/>
      <c r="H59" s="21">
        <f>SUM(H53:H58)</f>
        <v>330340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1410</v>
      </c>
      <c r="D63" s="17">
        <f>ROUNDUP(C63*52,-1)</f>
        <v>73320</v>
      </c>
      <c r="E63" s="15" t="s">
        <v>40</v>
      </c>
      <c r="F63" s="29" t="s">
        <v>4</v>
      </c>
      <c r="G63" s="16">
        <f>H3</f>
        <v>1410</v>
      </c>
      <c r="H63" s="17">
        <f>ROUNDUP(G63*51,-1)</f>
        <v>71910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10000</v>
      </c>
      <c r="E65" s="19"/>
      <c r="F65" s="30" t="s">
        <v>35</v>
      </c>
      <c r="G65" s="37"/>
      <c r="H65" s="49">
        <v>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1470</v>
      </c>
      <c r="D67" s="17">
        <f>ROUND(C67*52,-1)</f>
        <v>76440</v>
      </c>
      <c r="E67" s="19"/>
      <c r="F67" s="30" t="s">
        <v>98</v>
      </c>
      <c r="G67" s="18">
        <f>H6</f>
        <v>1470</v>
      </c>
      <c r="H67" s="17">
        <f>ROUND(G67*51,-1)</f>
        <v>74970</v>
      </c>
    </row>
    <row r="68" spans="1:8" s="3" customFormat="1" ht="18" customHeight="1">
      <c r="A68" s="19"/>
      <c r="B68" s="30" t="s">
        <v>100</v>
      </c>
      <c r="C68" s="18">
        <f>H7</f>
        <v>800</v>
      </c>
      <c r="D68" s="17">
        <f>ROUND(C68*52,-1)</f>
        <v>41600</v>
      </c>
      <c r="E68" s="19"/>
      <c r="F68" s="30" t="s">
        <v>100</v>
      </c>
      <c r="G68" s="18">
        <f>H7</f>
        <v>800</v>
      </c>
      <c r="H68" s="17">
        <f>ROUND(G68*51,-1)</f>
        <v>40800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283520</v>
      </c>
      <c r="E69" s="20"/>
      <c r="F69" s="38" t="s">
        <v>5</v>
      </c>
      <c r="G69" s="39"/>
      <c r="H69" s="21">
        <f>SUM(H63:H68)</f>
        <v>268260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1410</v>
      </c>
      <c r="D70" s="17">
        <f>ROUNDUP(C70*47,-1)</f>
        <v>66270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1470</v>
      </c>
      <c r="D74" s="17">
        <f>ROUND(C74*47,-1)</f>
        <v>69090</v>
      </c>
      <c r="E74" s="1"/>
    </row>
    <row r="75" spans="1:8" s="3" customFormat="1" ht="18" customHeight="1">
      <c r="A75" s="19"/>
      <c r="B75" s="30" t="s">
        <v>100</v>
      </c>
      <c r="C75" s="18">
        <f>H7</f>
        <v>800</v>
      </c>
      <c r="D75" s="17">
        <f>ROUND(C75*47,-1)</f>
        <v>37600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247220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1410</v>
      </c>
      <c r="D80" s="17">
        <f>ROUNDUP(C80*52,-1)</f>
        <v>73320</v>
      </c>
      <c r="E80" s="15" t="s">
        <v>15</v>
      </c>
      <c r="F80" s="29" t="s">
        <v>4</v>
      </c>
      <c r="G80" s="16">
        <f>H3</f>
        <v>1410</v>
      </c>
      <c r="H80" s="17">
        <f>ROUNDUP(G80*51,-1)</f>
        <v>71910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15000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1470</v>
      </c>
      <c r="D84" s="17">
        <f>ROUND(C84*52,-1)</f>
        <v>76440</v>
      </c>
      <c r="E84" s="19"/>
      <c r="F84" s="30" t="s">
        <v>98</v>
      </c>
      <c r="G84" s="18">
        <f>H6</f>
        <v>1470</v>
      </c>
      <c r="H84" s="17">
        <f>ROUND(G84*51,-1)</f>
        <v>74970</v>
      </c>
    </row>
    <row r="85" spans="1:8" s="3" customFormat="1" ht="18" customHeight="1">
      <c r="A85" s="19"/>
      <c r="B85" s="30" t="s">
        <v>100</v>
      </c>
      <c r="C85" s="18">
        <f>H7</f>
        <v>800</v>
      </c>
      <c r="D85" s="17">
        <f>ROUND(C85*52,-1)</f>
        <v>41600</v>
      </c>
      <c r="E85" s="19"/>
      <c r="F85" s="30" t="s">
        <v>100</v>
      </c>
      <c r="G85" s="18">
        <f>H7</f>
        <v>800</v>
      </c>
      <c r="H85" s="17">
        <f>ROUND(G85*51,-1)</f>
        <v>40800</v>
      </c>
    </row>
    <row r="86" spans="1:8" s="3" customFormat="1" ht="18" customHeight="1">
      <c r="A86" s="20"/>
      <c r="B86" s="38"/>
      <c r="C86" s="39"/>
      <c r="D86" s="21">
        <f>SUM(D80:D85)</f>
        <v>278520</v>
      </c>
      <c r="E86" s="20"/>
      <c r="F86" s="38" t="s">
        <v>5</v>
      </c>
      <c r="G86" s="39"/>
      <c r="H86" s="21">
        <f>SUM(H80:H85)</f>
        <v>283260</v>
      </c>
    </row>
    <row r="87" spans="1:8" s="3" customFormat="1" ht="18" customHeight="1">
      <c r="A87" s="15" t="s">
        <v>44</v>
      </c>
      <c r="B87" s="29" t="s">
        <v>4</v>
      </c>
      <c r="C87" s="16">
        <f>H3</f>
        <v>1410</v>
      </c>
      <c r="D87" s="17">
        <f>ROUNDUP(C87*49,-1)</f>
        <v>69090</v>
      </c>
      <c r="E87" s="15" t="s">
        <v>155</v>
      </c>
      <c r="F87" s="30" t="s">
        <v>170</v>
      </c>
      <c r="G87" s="18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171</v>
      </c>
      <c r="G88" s="18"/>
      <c r="H88" s="17">
        <v>150000</v>
      </c>
    </row>
    <row r="89" spans="1:8" s="3" customFormat="1" ht="18" customHeight="1">
      <c r="A89" s="19"/>
      <c r="B89" s="30" t="s">
        <v>35</v>
      </c>
      <c r="C89" s="37"/>
      <c r="D89" s="49">
        <v>25000</v>
      </c>
      <c r="E89" s="19"/>
      <c r="F89" s="30" t="s">
        <v>243</v>
      </c>
      <c r="G89" s="37"/>
      <c r="H89" s="17">
        <v>113340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221</v>
      </c>
      <c r="G90" s="18"/>
      <c r="H90" s="17">
        <v>350000</v>
      </c>
    </row>
    <row r="91" spans="1:8" s="3" customFormat="1" ht="18" customHeight="1">
      <c r="A91" s="19"/>
      <c r="B91" s="30" t="s">
        <v>98</v>
      </c>
      <c r="C91" s="18">
        <f>H6</f>
        <v>1470</v>
      </c>
      <c r="D91" s="17">
        <f>ROUND(C91*47,-1)</f>
        <v>69090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800</v>
      </c>
      <c r="D92" s="17">
        <f>ROUND(C92*47,-1)</f>
        <v>37600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276760</v>
      </c>
      <c r="E93" s="20"/>
      <c r="F93" s="38" t="s">
        <v>5</v>
      </c>
      <c r="G93" s="39"/>
      <c r="H93" s="21">
        <f>SUM(H87:H90)</f>
        <v>623340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0013C-AAC6-414F-AA1B-6878E0F1BAE5}">
  <dimension ref="A1:O150"/>
  <sheetViews>
    <sheetView zoomScaleNormal="100" workbookViewId="0">
      <selection activeCell="D25" sqref="D25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3" width="8.88671875" style="1"/>
    <col min="14" max="14" width="11.88671875" style="1" bestFit="1" customWidth="1"/>
    <col min="15" max="16384" width="8.88671875" style="1"/>
  </cols>
  <sheetData>
    <row r="1" spans="1:14" ht="39.950000000000003" customHeight="1">
      <c r="A1" s="96" t="s">
        <v>204</v>
      </c>
      <c r="B1" s="96"/>
      <c r="C1" s="96"/>
      <c r="D1" s="96"/>
      <c r="E1" s="96"/>
      <c r="F1" s="96"/>
      <c r="G1" s="96"/>
      <c r="H1" s="96"/>
    </row>
    <row r="2" spans="1:14" ht="17.100000000000001" customHeight="1">
      <c r="A2" s="97" t="s">
        <v>51</v>
      </c>
      <c r="B2" s="98"/>
      <c r="C2" s="98"/>
      <c r="D2" s="99"/>
      <c r="E2" s="100" t="s">
        <v>205</v>
      </c>
      <c r="F2" s="100"/>
      <c r="G2" s="100"/>
      <c r="H2" s="100"/>
    </row>
    <row r="3" spans="1:14" ht="17.100000000000001" customHeight="1">
      <c r="A3" s="84" t="s">
        <v>142</v>
      </c>
      <c r="B3" s="84"/>
      <c r="C3" s="84"/>
      <c r="D3" s="48">
        <v>763129</v>
      </c>
      <c r="E3" s="95" t="s">
        <v>52</v>
      </c>
      <c r="F3" s="95"/>
      <c r="G3" s="95"/>
      <c r="H3" s="32">
        <f>ROUNDUP((D7/605)*110%,-1)</f>
        <v>1570</v>
      </c>
    </row>
    <row r="4" spans="1:14" ht="17.100000000000001" customHeight="1">
      <c r="A4" s="84" t="s">
        <v>21</v>
      </c>
      <c r="B4" s="84"/>
      <c r="C4" s="84"/>
      <c r="D4" s="26">
        <f>SUM(D3:D3)</f>
        <v>763129</v>
      </c>
      <c r="E4" s="95" t="s">
        <v>53</v>
      </c>
      <c r="F4" s="95"/>
      <c r="G4" s="95"/>
      <c r="H4" s="33">
        <f>ROUNDUP((SUM(D8:D10)/605)*110%,-1)</f>
        <v>860</v>
      </c>
    </row>
    <row r="5" spans="1:14" ht="17.100000000000001" customHeight="1">
      <c r="A5" s="84" t="s">
        <v>0</v>
      </c>
      <c r="B5" s="84"/>
      <c r="C5" s="84"/>
      <c r="D5" s="26">
        <f>D4*0.1</f>
        <v>76312.900000000009</v>
      </c>
      <c r="E5" s="95" t="s">
        <v>54</v>
      </c>
      <c r="F5" s="95"/>
      <c r="G5" s="95"/>
      <c r="H5" s="33">
        <f>ROUNDUP((D14/619)*110%,-1)</f>
        <v>720</v>
      </c>
    </row>
    <row r="6" spans="1:14" ht="17.100000000000001" customHeight="1">
      <c r="A6" s="84" t="s">
        <v>1</v>
      </c>
      <c r="B6" s="84"/>
      <c r="C6" s="84"/>
      <c r="D6" s="48">
        <v>23020</v>
      </c>
      <c r="E6" s="95" t="s">
        <v>99</v>
      </c>
      <c r="F6" s="95"/>
      <c r="G6" s="95"/>
      <c r="H6" s="33">
        <f>ROUNDUP((D12/619)*110%,-1)</f>
        <v>1770</v>
      </c>
    </row>
    <row r="7" spans="1:14" ht="17.100000000000001" customHeight="1">
      <c r="A7" s="94" t="s">
        <v>32</v>
      </c>
      <c r="B7" s="94"/>
      <c r="C7" s="94"/>
      <c r="D7" s="28">
        <f>SUM(D4:D6)</f>
        <v>862461.9</v>
      </c>
      <c r="E7" s="95" t="s">
        <v>101</v>
      </c>
      <c r="F7" s="95"/>
      <c r="G7" s="95"/>
      <c r="H7" s="33">
        <v>700</v>
      </c>
    </row>
    <row r="8" spans="1:14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4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206</v>
      </c>
      <c r="F9" s="86"/>
      <c r="G9" s="86"/>
      <c r="H9" s="87"/>
    </row>
    <row r="10" spans="1:14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4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  <c r="N11" s="41"/>
    </row>
    <row r="12" spans="1:14" ht="17.100000000000001" customHeight="1">
      <c r="A12" s="84" t="s">
        <v>97</v>
      </c>
      <c r="B12" s="84"/>
      <c r="C12" s="84"/>
      <c r="D12" s="70">
        <f>H93+200000</f>
        <v>995000</v>
      </c>
      <c r="E12" s="88"/>
      <c r="F12" s="89"/>
      <c r="G12" s="89"/>
      <c r="H12" s="90"/>
    </row>
    <row r="13" spans="1:14" ht="17.100000000000001" customHeight="1">
      <c r="A13" s="84" t="s">
        <v>146</v>
      </c>
      <c r="B13" s="84"/>
      <c r="C13" s="84"/>
      <c r="D13" s="67">
        <v>184290</v>
      </c>
      <c r="E13" s="88"/>
      <c r="F13" s="89"/>
      <c r="G13" s="89"/>
      <c r="H13" s="90"/>
      <c r="J13" s="41"/>
    </row>
    <row r="14" spans="1:14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4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4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3337601.9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4297760</v>
      </c>
      <c r="L21" s="5"/>
      <c r="N21" s="5">
        <f>D24+H24+D31+H31+D38+H38+D45+D55+H55+D65+H65+D72+D82+H82+D89</f>
        <v>103000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1570</v>
      </c>
      <c r="D22" s="17">
        <f>ROUNDUP(C22*22.86,-1)</f>
        <v>35900</v>
      </c>
      <c r="E22" s="15" t="s">
        <v>13</v>
      </c>
      <c r="F22" s="29" t="s">
        <v>4</v>
      </c>
      <c r="G22" s="16">
        <f>H3</f>
        <v>1570</v>
      </c>
      <c r="H22" s="22">
        <f>ROUNDUP(G22*24,-1)</f>
        <v>37680</v>
      </c>
      <c r="J22" s="5">
        <f>D27+H27+D34+H34+D41+H41+D48+D58+H58+D68+H68+D75+D85+H85+D92</f>
        <v>422850</v>
      </c>
      <c r="N22" s="5">
        <f>D27+H27+D34+H34+D41+H41+D48+D58+H58+D68+H68+D75+D85+H85+D92</f>
        <v>422850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0</v>
      </c>
      <c r="E24" s="19"/>
      <c r="F24" s="30" t="s">
        <v>22</v>
      </c>
      <c r="G24" s="37"/>
      <c r="H24" s="49"/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1770</v>
      </c>
      <c r="D26" s="17">
        <f>ROUND(C26*22.86,-1)</f>
        <v>40460</v>
      </c>
      <c r="E26" s="19"/>
      <c r="F26" s="30" t="s">
        <v>98</v>
      </c>
      <c r="G26" s="18">
        <f>H6</f>
        <v>1770</v>
      </c>
      <c r="H26" s="17">
        <f>ROUND(G26*24,-1)</f>
        <v>42480</v>
      </c>
      <c r="J26" s="5"/>
    </row>
    <row r="27" spans="1:15" ht="18" customHeight="1">
      <c r="A27" s="19"/>
      <c r="B27" s="30" t="s">
        <v>100</v>
      </c>
      <c r="C27" s="18">
        <f>H7</f>
        <v>700</v>
      </c>
      <c r="D27" s="17">
        <f>ROUND(C27*22.86,-1)</f>
        <v>16000</v>
      </c>
      <c r="E27" s="19"/>
      <c r="F27" s="30" t="s">
        <v>100</v>
      </c>
      <c r="G27" s="18">
        <f>H7</f>
        <v>700</v>
      </c>
      <c r="H27" s="17">
        <f>ROUND(G27*24,-1)</f>
        <v>16800</v>
      </c>
    </row>
    <row r="28" spans="1:15" ht="18" customHeight="1">
      <c r="A28" s="20"/>
      <c r="B28" s="38" t="s">
        <v>5</v>
      </c>
      <c r="C28" s="39"/>
      <c r="D28" s="21">
        <f>SUM(D22:D27)</f>
        <v>128480</v>
      </c>
      <c r="E28" s="20"/>
      <c r="F28" s="38" t="s">
        <v>5</v>
      </c>
      <c r="G28" s="39"/>
      <c r="H28" s="21">
        <f>SUM(H22:H27)</f>
        <v>134880</v>
      </c>
    </row>
    <row r="29" spans="1:15" ht="18" customHeight="1">
      <c r="A29" s="15" t="s">
        <v>23</v>
      </c>
      <c r="B29" s="29" t="s">
        <v>4</v>
      </c>
      <c r="C29" s="16">
        <f>H3</f>
        <v>1570</v>
      </c>
      <c r="D29" s="17">
        <f>ROUNDUP(C29*24,-1)</f>
        <v>37680</v>
      </c>
      <c r="E29" s="15" t="s">
        <v>34</v>
      </c>
      <c r="F29" s="29" t="s">
        <v>4</v>
      </c>
      <c r="G29" s="16">
        <f>H3</f>
        <v>1570</v>
      </c>
      <c r="H29" s="17">
        <f>ROUNDUP(G29*22.86,-1)</f>
        <v>35900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/>
      <c r="E31" s="19"/>
      <c r="F31" s="30" t="s">
        <v>22</v>
      </c>
      <c r="G31" s="37"/>
      <c r="H31" s="49"/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1770</v>
      </c>
      <c r="D33" s="17">
        <f>ROUND(C33*24,-1)</f>
        <v>42480</v>
      </c>
      <c r="E33" s="19"/>
      <c r="F33" s="30" t="s">
        <v>98</v>
      </c>
      <c r="G33" s="18">
        <f>H6</f>
        <v>1770</v>
      </c>
      <c r="H33" s="17">
        <f>ROUND(G33*22.86,-1)</f>
        <v>40460</v>
      </c>
    </row>
    <row r="34" spans="1:8" ht="18" customHeight="1">
      <c r="A34" s="19"/>
      <c r="B34" s="30" t="s">
        <v>100</v>
      </c>
      <c r="C34" s="18">
        <f>H7</f>
        <v>700</v>
      </c>
      <c r="D34" s="17">
        <f>ROUND(C34*24,-1)</f>
        <v>16800</v>
      </c>
      <c r="E34" s="19"/>
      <c r="F34" s="30" t="s">
        <v>100</v>
      </c>
      <c r="G34" s="18">
        <f>H7</f>
        <v>700</v>
      </c>
      <c r="H34" s="17">
        <f>ROUND(G34*22.86,-1)</f>
        <v>16000</v>
      </c>
    </row>
    <row r="35" spans="1:8" ht="18" customHeight="1">
      <c r="A35" s="20"/>
      <c r="B35" s="38" t="s">
        <v>5</v>
      </c>
      <c r="C35" s="39"/>
      <c r="D35" s="21">
        <f>SUM(D29:D34)</f>
        <v>134880</v>
      </c>
      <c r="E35" s="20"/>
      <c r="F35" s="38" t="s">
        <v>5</v>
      </c>
      <c r="G35" s="39"/>
      <c r="H35" s="21">
        <f>SUM(H29:H34)</f>
        <v>128480</v>
      </c>
    </row>
    <row r="36" spans="1:8" s="3" customFormat="1" ht="18" customHeight="1">
      <c r="A36" s="15" t="s">
        <v>26</v>
      </c>
      <c r="B36" s="29" t="s">
        <v>4</v>
      </c>
      <c r="C36" s="16">
        <f>H3</f>
        <v>1570</v>
      </c>
      <c r="D36" s="17">
        <f>ROUNDUP(C36*14.35,-1)</f>
        <v>22530</v>
      </c>
      <c r="E36" s="15" t="s">
        <v>102</v>
      </c>
      <c r="F36" s="29" t="s">
        <v>4</v>
      </c>
      <c r="G36" s="16">
        <f>H3</f>
        <v>1570</v>
      </c>
      <c r="H36" s="17">
        <f>ROUNDUP(G36*14,-1)</f>
        <v>21980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1770</v>
      </c>
      <c r="D40" s="17">
        <f>ROUND(C40*14.35,-1)</f>
        <v>25400</v>
      </c>
      <c r="E40" s="19"/>
      <c r="F40" s="30" t="s">
        <v>98</v>
      </c>
      <c r="G40" s="18">
        <f>H6</f>
        <v>1770</v>
      </c>
      <c r="H40" s="17">
        <f>ROUND(G40*14,-1)</f>
        <v>24780</v>
      </c>
    </row>
    <row r="41" spans="1:8" s="3" customFormat="1" ht="18" customHeight="1">
      <c r="A41" s="19"/>
      <c r="B41" s="30" t="s">
        <v>100</v>
      </c>
      <c r="C41" s="18">
        <f>H7</f>
        <v>700</v>
      </c>
      <c r="D41" s="17">
        <f>ROUND(C41*14.35,-1)</f>
        <v>10050</v>
      </c>
      <c r="E41" s="19"/>
      <c r="F41" s="30" t="s">
        <v>100</v>
      </c>
      <c r="G41" s="18">
        <f>H7</f>
        <v>700</v>
      </c>
      <c r="H41" s="17">
        <f>ROUND(G41*14,-1)</f>
        <v>9800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80660</v>
      </c>
      <c r="E42" s="20"/>
      <c r="F42" s="38" t="s">
        <v>5</v>
      </c>
      <c r="G42" s="39"/>
      <c r="H42" s="21">
        <f>SUM(H36:H41)</f>
        <v>78680</v>
      </c>
    </row>
    <row r="43" spans="1:8" s="3" customFormat="1" ht="18" customHeight="1">
      <c r="A43" s="15" t="s">
        <v>28</v>
      </c>
      <c r="B43" s="29" t="s">
        <v>4</v>
      </c>
      <c r="C43" s="16">
        <f>H3</f>
        <v>1570</v>
      </c>
      <c r="D43" s="17">
        <f>ROUNDUP(C43*24,-1)</f>
        <v>37680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10000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1770</v>
      </c>
      <c r="D47" s="17">
        <f>ROUND(C47*24,-1)</f>
        <v>42480</v>
      </c>
      <c r="E47" s="1"/>
    </row>
    <row r="48" spans="1:8" s="3" customFormat="1" ht="18" customHeight="1">
      <c r="A48" s="19"/>
      <c r="B48" s="30" t="s">
        <v>100</v>
      </c>
      <c r="C48" s="18">
        <f>H7</f>
        <v>700</v>
      </c>
      <c r="D48" s="17">
        <f>ROUND(C48*24,-1)</f>
        <v>16800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144880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1570</v>
      </c>
      <c r="D53" s="17">
        <f>ROUNDUP(C53*99,-1)</f>
        <v>155430</v>
      </c>
      <c r="E53" s="15" t="s">
        <v>36</v>
      </c>
      <c r="F53" s="29" t="s">
        <v>4</v>
      </c>
      <c r="G53" s="16">
        <f>H3</f>
        <v>1570</v>
      </c>
      <c r="H53" s="17">
        <f>ROUNDUP(G53*59,-1)</f>
        <v>92630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25000</v>
      </c>
      <c r="E55" s="19"/>
      <c r="F55" s="30" t="s">
        <v>35</v>
      </c>
      <c r="G55" s="37"/>
      <c r="H55" s="49">
        <v>20000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1770</v>
      </c>
      <c r="D57" s="17">
        <f>ROUND(C57*99,-1)</f>
        <v>175230</v>
      </c>
      <c r="E57" s="19"/>
      <c r="F57" s="30" t="s">
        <v>98</v>
      </c>
      <c r="G57" s="18">
        <f>H6</f>
        <v>1770</v>
      </c>
      <c r="H57" s="17">
        <f>ROUND(G57*59,-1)</f>
        <v>104430</v>
      </c>
    </row>
    <row r="58" spans="1:8" s="3" customFormat="1" ht="18" customHeight="1">
      <c r="A58" s="19"/>
      <c r="B58" s="30" t="s">
        <v>100</v>
      </c>
      <c r="C58" s="18">
        <f>H7</f>
        <v>700</v>
      </c>
      <c r="D58" s="17">
        <f>ROUND(C58*99,-1)</f>
        <v>69300</v>
      </c>
      <c r="E58" s="19"/>
      <c r="F58" s="30" t="s">
        <v>100</v>
      </c>
      <c r="G58" s="18">
        <f>H7</f>
        <v>700</v>
      </c>
      <c r="H58" s="17">
        <f>ROUND(G58*59,-1)</f>
        <v>41300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581380</v>
      </c>
      <c r="E59" s="20"/>
      <c r="F59" s="38" t="s">
        <v>5</v>
      </c>
      <c r="G59" s="39"/>
      <c r="H59" s="21">
        <f>SUM(H53:H58)</f>
        <v>351580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1570</v>
      </c>
      <c r="D63" s="17">
        <f>ROUNDUP(C63*52,-1)</f>
        <v>81640</v>
      </c>
      <c r="E63" s="15" t="s">
        <v>40</v>
      </c>
      <c r="F63" s="29" t="s">
        <v>4</v>
      </c>
      <c r="G63" s="16">
        <f>H3</f>
        <v>1570</v>
      </c>
      <c r="H63" s="17">
        <f>ROUNDUP(G63*51,-1)</f>
        <v>80070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7000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1770</v>
      </c>
      <c r="D67" s="17">
        <f>ROUND(C67*52,-1)</f>
        <v>92040</v>
      </c>
      <c r="E67" s="19"/>
      <c r="F67" s="30" t="s">
        <v>98</v>
      </c>
      <c r="G67" s="18">
        <f>H6</f>
        <v>1770</v>
      </c>
      <c r="H67" s="17">
        <f>ROUND(G67*51,-1)</f>
        <v>90270</v>
      </c>
    </row>
    <row r="68" spans="1:8" s="3" customFormat="1" ht="18" customHeight="1">
      <c r="A68" s="19"/>
      <c r="B68" s="30" t="s">
        <v>100</v>
      </c>
      <c r="C68" s="18">
        <f>H7</f>
        <v>700</v>
      </c>
      <c r="D68" s="17">
        <f>ROUND(C68*52,-1)</f>
        <v>36400</v>
      </c>
      <c r="E68" s="19"/>
      <c r="F68" s="30" t="s">
        <v>100</v>
      </c>
      <c r="G68" s="18">
        <f>H7</f>
        <v>700</v>
      </c>
      <c r="H68" s="17">
        <f>ROUND(G68*51,-1)</f>
        <v>35700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299240</v>
      </c>
      <c r="E69" s="20"/>
      <c r="F69" s="38" t="s">
        <v>5</v>
      </c>
      <c r="G69" s="39"/>
      <c r="H69" s="21">
        <f>SUM(H63:H68)</f>
        <v>286620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1570</v>
      </c>
      <c r="D70" s="17">
        <f>ROUNDUP(C70*47,-1)</f>
        <v>73790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1770</v>
      </c>
      <c r="D74" s="17">
        <f>ROUND(C74*47,-1)</f>
        <v>83190</v>
      </c>
      <c r="E74" s="1"/>
    </row>
    <row r="75" spans="1:8" s="3" customFormat="1" ht="18" customHeight="1">
      <c r="A75" s="19"/>
      <c r="B75" s="30" t="s">
        <v>100</v>
      </c>
      <c r="C75" s="18">
        <f>H7</f>
        <v>700</v>
      </c>
      <c r="D75" s="17">
        <f>ROUND(C75*47,-1)</f>
        <v>32900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264140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1570</v>
      </c>
      <c r="D80" s="17">
        <f>ROUNDUP(C80*52,-1)</f>
        <v>81640</v>
      </c>
      <c r="E80" s="15" t="s">
        <v>15</v>
      </c>
      <c r="F80" s="29" t="s">
        <v>4</v>
      </c>
      <c r="G80" s="16">
        <f>H3</f>
        <v>1570</v>
      </c>
      <c r="H80" s="17">
        <f>ROUNDUP(G80*51,-1)</f>
        <v>80070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6000</v>
      </c>
      <c r="E82" s="19"/>
      <c r="F82" s="30" t="s">
        <v>35</v>
      </c>
      <c r="G82" s="37"/>
      <c r="H82" s="49">
        <v>15000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1770</v>
      </c>
      <c r="D84" s="17">
        <f>ROUND(C84*52,-1)</f>
        <v>92040</v>
      </c>
      <c r="E84" s="19"/>
      <c r="F84" s="30" t="s">
        <v>98</v>
      </c>
      <c r="G84" s="18">
        <f>H6</f>
        <v>1770</v>
      </c>
      <c r="H84" s="17">
        <f>ROUND(G84*51,-1)</f>
        <v>90270</v>
      </c>
    </row>
    <row r="85" spans="1:8" s="3" customFormat="1" ht="18" customHeight="1">
      <c r="A85" s="19"/>
      <c r="B85" s="30" t="s">
        <v>100</v>
      </c>
      <c r="C85" s="18">
        <f>H7</f>
        <v>700</v>
      </c>
      <c r="D85" s="17">
        <f>ROUND(C85*52,-1)</f>
        <v>36400</v>
      </c>
      <c r="E85" s="19"/>
      <c r="F85" s="30" t="s">
        <v>100</v>
      </c>
      <c r="G85" s="18">
        <f>H7</f>
        <v>700</v>
      </c>
      <c r="H85" s="17">
        <f>ROUND(G85*51,-1)</f>
        <v>35700</v>
      </c>
    </row>
    <row r="86" spans="1:8" s="3" customFormat="1" ht="18" customHeight="1">
      <c r="A86" s="20"/>
      <c r="B86" s="38" t="s">
        <v>5</v>
      </c>
      <c r="C86" s="39"/>
      <c r="D86" s="21">
        <f>SUM(D80:D85)</f>
        <v>298240</v>
      </c>
      <c r="E86" s="20"/>
      <c r="F86" s="38" t="s">
        <v>5</v>
      </c>
      <c r="G86" s="39"/>
      <c r="H86" s="21">
        <f>SUM(H80:H85)</f>
        <v>301620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1570</v>
      </c>
      <c r="D87" s="17">
        <f>ROUNDUP(C87*49,-1)</f>
        <v>76930</v>
      </c>
      <c r="E87" s="15" t="s">
        <v>45</v>
      </c>
      <c r="F87" s="29" t="s">
        <v>246</v>
      </c>
      <c r="G87" s="16"/>
      <c r="H87" s="17">
        <v>660000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247</v>
      </c>
      <c r="G88" s="18"/>
      <c r="H88" s="17">
        <v>10000</v>
      </c>
    </row>
    <row r="89" spans="1:8" s="3" customFormat="1" ht="18" customHeight="1">
      <c r="A89" s="19"/>
      <c r="B89" s="30" t="s">
        <v>35</v>
      </c>
      <c r="C89" s="37"/>
      <c r="D89" s="49">
        <v>20000</v>
      </c>
      <c r="E89" s="19"/>
      <c r="F89" s="30" t="s">
        <v>248</v>
      </c>
      <c r="G89" s="37"/>
      <c r="H89" s="17">
        <v>110000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249</v>
      </c>
      <c r="G90" s="18"/>
      <c r="H90" s="17">
        <v>15000</v>
      </c>
    </row>
    <row r="91" spans="1:8" s="3" customFormat="1" ht="18" customHeight="1">
      <c r="A91" s="19"/>
      <c r="B91" s="30" t="s">
        <v>98</v>
      </c>
      <c r="C91" s="18">
        <f>H6</f>
        <v>1770</v>
      </c>
      <c r="D91" s="17">
        <f>ROUND(C91*47,-1)</f>
        <v>83190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700</v>
      </c>
      <c r="D92" s="17">
        <f>ROUND(C92*47,-1)</f>
        <v>32900</v>
      </c>
      <c r="E92" s="19"/>
      <c r="F92" s="31"/>
      <c r="G92" s="31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289000</v>
      </c>
      <c r="E93" s="20"/>
      <c r="F93" s="38" t="s">
        <v>5</v>
      </c>
      <c r="G93" s="39"/>
      <c r="H93" s="21">
        <f>SUM(H87:H90)</f>
        <v>795000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154AA-4E22-4975-82AF-A27F583B371D}">
  <dimension ref="A1:S150"/>
  <sheetViews>
    <sheetView tabSelected="1" zoomScaleNormal="100" workbookViewId="0">
      <selection activeCell="L40" sqref="L40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96" t="s">
        <v>258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207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737066</v>
      </c>
      <c r="E3" s="95" t="s">
        <v>52</v>
      </c>
      <c r="F3" s="95"/>
      <c r="G3" s="95"/>
      <c r="H3" s="32">
        <f>ROUNDUP((D7/605)*110%,-1)</f>
        <v>1520</v>
      </c>
    </row>
    <row r="4" spans="1:10" ht="17.100000000000001" customHeight="1">
      <c r="A4" s="84" t="s">
        <v>21</v>
      </c>
      <c r="B4" s="84"/>
      <c r="C4" s="84"/>
      <c r="D4" s="26">
        <v>737066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73706.600000000006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19900</v>
      </c>
      <c r="E6" s="95" t="s">
        <v>99</v>
      </c>
      <c r="F6" s="95"/>
      <c r="G6" s="95"/>
      <c r="H6" s="33">
        <f>ROUNDUP((D12/619)*110%,-1)</f>
        <v>1760</v>
      </c>
    </row>
    <row r="7" spans="1:10" ht="17.100000000000001" customHeight="1">
      <c r="A7" s="94" t="s">
        <v>32</v>
      </c>
      <c r="B7" s="94"/>
      <c r="C7" s="94"/>
      <c r="D7" s="28">
        <f>SUM(D4:D6)</f>
        <v>830672.6</v>
      </c>
      <c r="E7" s="95" t="s">
        <v>101</v>
      </c>
      <c r="F7" s="95"/>
      <c r="G7" s="95"/>
      <c r="H7" s="33">
        <f>ROUNDUP(550000/619,-3)</f>
        <v>1000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208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f>H93+200000</f>
        <v>990000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191970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3489712.6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4419630</v>
      </c>
      <c r="L21" s="5"/>
      <c r="N21" s="5">
        <f>D24+H24+D31+H31+D38+H38+D45+D55+H55+D65+H65+D72+D82+H82+D89</f>
        <v>85000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1520</v>
      </c>
      <c r="D22" s="17">
        <f>ROUNDUP(C22*22.86,-1)</f>
        <v>34750</v>
      </c>
      <c r="E22" s="15" t="s">
        <v>13</v>
      </c>
      <c r="F22" s="29" t="s">
        <v>4</v>
      </c>
      <c r="G22" s="16">
        <f>H3</f>
        <v>1520</v>
      </c>
      <c r="H22" s="22">
        <f>ROUNDUP(G22*24,-1)</f>
        <v>36480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0</v>
      </c>
      <c r="E24" s="19"/>
      <c r="F24" s="30" t="s">
        <v>22</v>
      </c>
      <c r="G24" s="37"/>
      <c r="H24" s="49"/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1760</v>
      </c>
      <c r="D26" s="17">
        <f>ROUND(C26*22.86,-1)</f>
        <v>40230</v>
      </c>
      <c r="E26" s="19"/>
      <c r="F26" s="30" t="s">
        <v>98</v>
      </c>
      <c r="G26" s="18">
        <f>H6</f>
        <v>1760</v>
      </c>
      <c r="H26" s="17">
        <f>ROUND(G26*24,-1)</f>
        <v>42240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133960</v>
      </c>
      <c r="E28" s="20"/>
      <c r="F28" s="38" t="s">
        <v>5</v>
      </c>
      <c r="G28" s="39"/>
      <c r="H28" s="21">
        <f>SUM(H22:H27)</f>
        <v>140640</v>
      </c>
    </row>
    <row r="29" spans="1:15" ht="18" customHeight="1">
      <c r="A29" s="15" t="s">
        <v>23</v>
      </c>
      <c r="B29" s="29" t="s">
        <v>4</v>
      </c>
      <c r="C29" s="16">
        <f>H3</f>
        <v>1520</v>
      </c>
      <c r="D29" s="17">
        <f>ROUNDUP(C29*24,-1)</f>
        <v>36480</v>
      </c>
      <c r="E29" s="15" t="s">
        <v>34</v>
      </c>
      <c r="F29" s="29" t="s">
        <v>4</v>
      </c>
      <c r="G29" s="16">
        <f>H3</f>
        <v>1520</v>
      </c>
      <c r="H29" s="17">
        <f>ROUNDUP(G29*22.86,-1)</f>
        <v>34750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0</v>
      </c>
      <c r="E31" s="19"/>
      <c r="F31" s="30" t="s">
        <v>22</v>
      </c>
      <c r="G31" s="37"/>
      <c r="H31" s="49">
        <v>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19" ht="18" customHeight="1">
      <c r="A33" s="19"/>
      <c r="B33" s="30" t="s">
        <v>98</v>
      </c>
      <c r="C33" s="18">
        <f>H6</f>
        <v>1760</v>
      </c>
      <c r="D33" s="17">
        <f>ROUND(C33*24,-1)</f>
        <v>42240</v>
      </c>
      <c r="E33" s="19"/>
      <c r="F33" s="30" t="s">
        <v>98</v>
      </c>
      <c r="G33" s="18">
        <f>H6</f>
        <v>1760</v>
      </c>
      <c r="H33" s="17">
        <f>ROUND(G33*22.86,-1)</f>
        <v>40230</v>
      </c>
    </row>
    <row r="34" spans="1:19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19" ht="18" customHeight="1">
      <c r="A35" s="20"/>
      <c r="B35" s="38" t="s">
        <v>5</v>
      </c>
      <c r="C35" s="39"/>
      <c r="D35" s="21">
        <f>SUM(D29:D34)</f>
        <v>140640</v>
      </c>
      <c r="E35" s="20"/>
      <c r="F35" s="38" t="s">
        <v>5</v>
      </c>
      <c r="G35" s="39"/>
      <c r="H35" s="21">
        <f>SUM(H29:H34)</f>
        <v>133960</v>
      </c>
      <c r="S35" s="68"/>
    </row>
    <row r="36" spans="1:19" s="3" customFormat="1" ht="18" customHeight="1">
      <c r="A36" s="15" t="s">
        <v>26</v>
      </c>
      <c r="B36" s="29" t="s">
        <v>4</v>
      </c>
      <c r="C36" s="16">
        <f>H3</f>
        <v>1520</v>
      </c>
      <c r="D36" s="17">
        <f>ROUNDUP(C36*14.35,-1)</f>
        <v>21820</v>
      </c>
      <c r="E36" s="15" t="s">
        <v>102</v>
      </c>
      <c r="F36" s="29" t="s">
        <v>4</v>
      </c>
      <c r="G36" s="16">
        <f>H3</f>
        <v>1520</v>
      </c>
      <c r="H36" s="17">
        <f>ROUNDUP(G36*14,-1)</f>
        <v>21280</v>
      </c>
    </row>
    <row r="37" spans="1:19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9" s="3" customFormat="1" ht="18" customHeight="1">
      <c r="A38" s="19"/>
      <c r="B38" s="30" t="s">
        <v>35</v>
      </c>
      <c r="C38" s="37"/>
      <c r="D38" s="49">
        <v>0</v>
      </c>
      <c r="E38" s="19"/>
      <c r="F38" s="30" t="s">
        <v>35</v>
      </c>
      <c r="G38" s="37"/>
      <c r="H38" s="49">
        <v>14000</v>
      </c>
    </row>
    <row r="39" spans="1:19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9" s="3" customFormat="1" ht="18" customHeight="1">
      <c r="A40" s="19"/>
      <c r="B40" s="30" t="s">
        <v>98</v>
      </c>
      <c r="C40" s="18">
        <f>H6</f>
        <v>1760</v>
      </c>
      <c r="D40" s="17">
        <f>ROUND(C40*14.35,-1)</f>
        <v>25260</v>
      </c>
      <c r="E40" s="19"/>
      <c r="F40" s="30" t="s">
        <v>98</v>
      </c>
      <c r="G40" s="18">
        <f>H6</f>
        <v>1760</v>
      </c>
      <c r="H40" s="17">
        <f>ROUND(G40*14,-1)</f>
        <v>24640</v>
      </c>
    </row>
    <row r="41" spans="1:19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19" s="3" customFormat="1" ht="18" customHeight="1">
      <c r="A42" s="20"/>
      <c r="B42" s="38" t="s">
        <v>5</v>
      </c>
      <c r="C42" s="39"/>
      <c r="D42" s="21">
        <f>SUM(D36:D41)</f>
        <v>84110</v>
      </c>
      <c r="E42" s="20"/>
      <c r="F42" s="38" t="s">
        <v>5</v>
      </c>
      <c r="G42" s="39"/>
      <c r="H42" s="21">
        <f>SUM(H36:H41)</f>
        <v>96040</v>
      </c>
    </row>
    <row r="43" spans="1:19" s="3" customFormat="1" ht="18" customHeight="1">
      <c r="A43" s="15" t="s">
        <v>28</v>
      </c>
      <c r="B43" s="29" t="s">
        <v>4</v>
      </c>
      <c r="C43" s="16">
        <f>H3</f>
        <v>1520</v>
      </c>
      <c r="D43" s="17">
        <f>ROUNDUP(C43*24,-1)</f>
        <v>36480</v>
      </c>
      <c r="E43" s="1"/>
    </row>
    <row r="44" spans="1:19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9" s="3" customFormat="1" ht="18" customHeight="1">
      <c r="A45" s="19"/>
      <c r="B45" s="30" t="s">
        <v>35</v>
      </c>
      <c r="C45" s="37"/>
      <c r="D45" s="49">
        <v>5000</v>
      </c>
      <c r="E45" s="1"/>
    </row>
    <row r="46" spans="1:19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9" s="3" customFormat="1" ht="18" customHeight="1">
      <c r="A47" s="19"/>
      <c r="B47" s="30" t="s">
        <v>98</v>
      </c>
      <c r="C47" s="18">
        <f>H6</f>
        <v>1760</v>
      </c>
      <c r="D47" s="17">
        <f>ROUND(C47*24,-1)</f>
        <v>42240</v>
      </c>
      <c r="E47" s="1"/>
    </row>
    <row r="48" spans="1:19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145640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1520</v>
      </c>
      <c r="D53" s="17">
        <f>ROUNDUP(C53*99,-1)</f>
        <v>150480</v>
      </c>
      <c r="E53" s="15" t="s">
        <v>36</v>
      </c>
      <c r="F53" s="29" t="s">
        <v>4</v>
      </c>
      <c r="G53" s="16">
        <f>H3</f>
        <v>1520</v>
      </c>
      <c r="H53" s="17">
        <f>ROUNDUP(G53*59,-1)</f>
        <v>89680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20000</v>
      </c>
      <c r="E55" s="19"/>
      <c r="F55" s="30" t="s">
        <v>35</v>
      </c>
      <c r="G55" s="37"/>
      <c r="H55" s="49">
        <v>15000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1760</v>
      </c>
      <c r="D57" s="17">
        <f>ROUND(C57*99,-1)</f>
        <v>174240</v>
      </c>
      <c r="E57" s="19"/>
      <c r="F57" s="30" t="s">
        <v>98</v>
      </c>
      <c r="G57" s="18">
        <f>H6</f>
        <v>1760</v>
      </c>
      <c r="H57" s="17">
        <f>ROUND(G57*59,-1)</f>
        <v>103840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600140</v>
      </c>
      <c r="E59" s="20"/>
      <c r="F59" s="38" t="s">
        <v>5</v>
      </c>
      <c r="G59" s="39"/>
      <c r="H59" s="21">
        <f>SUM(H53:H58)</f>
        <v>360740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1520</v>
      </c>
      <c r="D63" s="17">
        <f>ROUNDUP(C63*52,-1)</f>
        <v>79040</v>
      </c>
      <c r="E63" s="15" t="s">
        <v>40</v>
      </c>
      <c r="F63" s="29" t="s">
        <v>4</v>
      </c>
      <c r="G63" s="16">
        <f>H3</f>
        <v>1520</v>
      </c>
      <c r="H63" s="17">
        <f>ROUNDUP(G63*51,-1)</f>
        <v>77520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1760</v>
      </c>
      <c r="D67" s="17">
        <f>ROUND(C67*52,-1)</f>
        <v>91520</v>
      </c>
      <c r="E67" s="19"/>
      <c r="F67" s="30" t="s">
        <v>98</v>
      </c>
      <c r="G67" s="18">
        <f>H6</f>
        <v>1760</v>
      </c>
      <c r="H67" s="17">
        <f>ROUND(G67*51,-1)</f>
        <v>89760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310720</v>
      </c>
      <c r="E69" s="20"/>
      <c r="F69" s="38" t="s">
        <v>5</v>
      </c>
      <c r="G69" s="39"/>
      <c r="H69" s="21">
        <f>SUM(H63:H68)</f>
        <v>298860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1520</v>
      </c>
      <c r="D70" s="17">
        <f>ROUNDUP(C70*47,-1)</f>
        <v>71440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1760</v>
      </c>
      <c r="D74" s="17">
        <f>ROUND(C74*47,-1)</f>
        <v>82720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275420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1520</v>
      </c>
      <c r="D80" s="17">
        <f>ROUNDUP(C80*52,-1)</f>
        <v>79040</v>
      </c>
      <c r="E80" s="15" t="s">
        <v>15</v>
      </c>
      <c r="F80" s="29" t="s">
        <v>4</v>
      </c>
      <c r="G80" s="16">
        <f>H3</f>
        <v>1520</v>
      </c>
      <c r="H80" s="17">
        <f>ROUNDUP(G80*51,-1)</f>
        <v>77520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1760</v>
      </c>
      <c r="D84" s="17">
        <f>ROUND(C84*52,-1)</f>
        <v>91520</v>
      </c>
      <c r="E84" s="19"/>
      <c r="F84" s="30" t="s">
        <v>98</v>
      </c>
      <c r="G84" s="18">
        <f>H6</f>
        <v>1760</v>
      </c>
      <c r="H84" s="17">
        <f>ROUND(G84*51,-1)</f>
        <v>89760</v>
      </c>
    </row>
    <row r="85" spans="1:8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8" s="3" customFormat="1" ht="18" customHeight="1">
      <c r="A86" s="20"/>
      <c r="B86" s="38"/>
      <c r="C86" s="39"/>
      <c r="D86" s="21">
        <f>SUM(D80:D85)</f>
        <v>309720</v>
      </c>
      <c r="E86" s="20"/>
      <c r="F86" s="38" t="s">
        <v>5</v>
      </c>
      <c r="G86" s="39"/>
      <c r="H86" s="21">
        <f>SUM(H80:H85)</f>
        <v>298860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1520</v>
      </c>
      <c r="D87" s="17">
        <f>ROUNDUP(C87*49,-1)</f>
        <v>74480</v>
      </c>
      <c r="E87" s="15" t="s">
        <v>45</v>
      </c>
      <c r="F87" s="13" t="s">
        <v>257</v>
      </c>
      <c r="G87" s="16"/>
      <c r="H87" s="17">
        <v>580000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251</v>
      </c>
      <c r="G88" s="18"/>
      <c r="H88" s="17">
        <v>200000</v>
      </c>
    </row>
    <row r="89" spans="1:8" s="3" customFormat="1" ht="18" customHeight="1">
      <c r="A89" s="19"/>
      <c r="B89" s="30" t="s">
        <v>35</v>
      </c>
      <c r="C89" s="37"/>
      <c r="D89" s="49">
        <v>20000</v>
      </c>
      <c r="E89" s="19"/>
      <c r="F89" s="30" t="s">
        <v>250</v>
      </c>
      <c r="G89" s="37"/>
      <c r="H89" s="17">
        <v>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1760</v>
      </c>
      <c r="D91" s="17">
        <f>ROUND(C91*47,-1)</f>
        <v>82720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300180</v>
      </c>
      <c r="E93" s="20"/>
      <c r="F93" s="38" t="s">
        <v>5</v>
      </c>
      <c r="G93" s="39"/>
      <c r="H93" s="21">
        <f>SUM(H87:H90)</f>
        <v>790000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8" s="3" customFormat="1" ht="17.100000000000001" customHeight="1">
      <c r="E97" s="1"/>
    </row>
    <row r="98" spans="5:8" s="3" customFormat="1" ht="17.100000000000001" customHeight="1">
      <c r="E98" s="1"/>
      <c r="F98" s="3" t="s">
        <v>252</v>
      </c>
    </row>
    <row r="99" spans="5:8" s="3" customFormat="1" ht="17.100000000000001" customHeight="1">
      <c r="E99" s="1"/>
      <c r="F99" s="3" t="s">
        <v>253</v>
      </c>
    </row>
    <row r="100" spans="5:8" s="3" customFormat="1" ht="17.100000000000001" customHeight="1">
      <c r="E100" s="1"/>
      <c r="F100" s="3" t="s">
        <v>254</v>
      </c>
      <c r="H100" s="3">
        <v>85000</v>
      </c>
    </row>
    <row r="101" spans="5:8" s="3" customFormat="1" ht="17.100000000000001" customHeight="1">
      <c r="E101" s="1"/>
      <c r="F101" s="3" t="s">
        <v>255</v>
      </c>
      <c r="H101" s="3">
        <v>400000</v>
      </c>
    </row>
    <row r="102" spans="5:8" s="3" customFormat="1" ht="17.100000000000001" customHeight="1">
      <c r="E102" s="1"/>
      <c r="F102" s="3" t="s">
        <v>256</v>
      </c>
      <c r="H102" s="3">
        <v>180000</v>
      </c>
    </row>
    <row r="103" spans="5:8" s="3" customFormat="1" ht="17.100000000000001" customHeight="1">
      <c r="E103" s="1"/>
    </row>
    <row r="104" spans="5:8" s="3" customFormat="1" ht="17.100000000000001" customHeight="1">
      <c r="E104" s="1"/>
    </row>
    <row r="105" spans="5:8" s="3" customFormat="1" ht="17.100000000000001" customHeight="1">
      <c r="E105" s="1"/>
    </row>
    <row r="106" spans="5:8" s="3" customFormat="1" ht="17.100000000000001" customHeight="1">
      <c r="E106" s="1"/>
    </row>
    <row r="107" spans="5:8" s="3" customFormat="1" ht="17.100000000000001" customHeight="1">
      <c r="E107" s="1"/>
    </row>
    <row r="108" spans="5:8" s="3" customFormat="1" ht="17.100000000000001" customHeight="1">
      <c r="E108" s="1"/>
    </row>
    <row r="109" spans="5:8" s="3" customFormat="1" ht="17.100000000000001" customHeight="1">
      <c r="E109" s="1"/>
    </row>
    <row r="110" spans="5:8" s="3" customFormat="1" ht="17.100000000000001" customHeight="1">
      <c r="E110" s="1"/>
    </row>
    <row r="111" spans="5:8" s="3" customFormat="1" ht="17.100000000000001" customHeight="1">
      <c r="E111" s="1"/>
    </row>
    <row r="112" spans="5:8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2E0FF-D78A-455E-90F9-77DD3C728168}">
  <dimension ref="A1:O150"/>
  <sheetViews>
    <sheetView zoomScaleNormal="100" workbookViewId="0">
      <selection activeCell="L40" sqref="L40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1" width="11.6640625" style="1" customWidth="1"/>
    <col min="12" max="16384" width="8.88671875" style="1"/>
  </cols>
  <sheetData>
    <row r="1" spans="1:10" ht="39.950000000000003" customHeight="1">
      <c r="A1" s="96" t="s">
        <v>209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210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658877</v>
      </c>
      <c r="E3" s="95" t="s">
        <v>52</v>
      </c>
      <c r="F3" s="95"/>
      <c r="G3" s="95"/>
      <c r="H3" s="32">
        <f>ROUNDUP((D7/605)*110%,-1)</f>
        <v>1370</v>
      </c>
    </row>
    <row r="4" spans="1:10" ht="17.100000000000001" customHeight="1">
      <c r="A4" s="84" t="s">
        <v>21</v>
      </c>
      <c r="B4" s="84"/>
      <c r="C4" s="84"/>
      <c r="D4" s="26">
        <f>SUM(D3:D3)</f>
        <v>658877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65887.7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24370</v>
      </c>
      <c r="E6" s="95" t="s">
        <v>99</v>
      </c>
      <c r="F6" s="95"/>
      <c r="G6" s="95"/>
      <c r="H6" s="33">
        <f>ROUNDUP((D12/619)*110%,-1)</f>
        <v>1070</v>
      </c>
    </row>
    <row r="7" spans="1:10" ht="17.100000000000001" customHeight="1">
      <c r="A7" s="94" t="s">
        <v>32</v>
      </c>
      <c r="B7" s="94"/>
      <c r="C7" s="94"/>
      <c r="D7" s="28">
        <f>SUM(D4:D6)</f>
        <v>749134.7</v>
      </c>
      <c r="E7" s="95" t="s">
        <v>101</v>
      </c>
      <c r="F7" s="95"/>
      <c r="G7" s="95"/>
      <c r="H7" s="33">
        <v>900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211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f>H93+200000</f>
        <v>601000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123520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2890314.7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3485490</v>
      </c>
      <c r="L21" s="5"/>
      <c r="N21" s="5">
        <f>D24+H24+D31+H31+D38+H38+D45+D55+H55+D65+H65+D72+D82+H82+D89</f>
        <v>108000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1370</v>
      </c>
      <c r="D22" s="17">
        <f>ROUNDUP(C22*22.86,-1)</f>
        <v>31320</v>
      </c>
      <c r="E22" s="15" t="s">
        <v>13</v>
      </c>
      <c r="F22" s="29" t="s">
        <v>4</v>
      </c>
      <c r="G22" s="16">
        <f>H3</f>
        <v>1370</v>
      </c>
      <c r="H22" s="22">
        <f>ROUNDUP(G22*24,-1)</f>
        <v>32880</v>
      </c>
      <c r="J22" s="5">
        <f>D27+H27+D34+H34+D41+H41+D48+D58+H58+D68+H68+D75+D85+H85+D92</f>
        <v>543660</v>
      </c>
      <c r="N22" s="5">
        <f>D27+H27+D34+H34+D41+H41+D48+D58+H58+D68+H68+D75+D85+H85+D92</f>
        <v>543660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14000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1070</v>
      </c>
      <c r="D26" s="17">
        <f>ROUND(C26*22.86,-1)</f>
        <v>24460</v>
      </c>
      <c r="E26" s="19"/>
      <c r="F26" s="30" t="s">
        <v>98</v>
      </c>
      <c r="G26" s="18">
        <f>H6</f>
        <v>1070</v>
      </c>
      <c r="H26" s="17">
        <f>ROUND(G26*24,-1)</f>
        <v>25680</v>
      </c>
      <c r="J26" s="5"/>
    </row>
    <row r="27" spans="1:15" ht="18" customHeight="1">
      <c r="A27" s="19"/>
      <c r="B27" s="30" t="s">
        <v>100</v>
      </c>
      <c r="C27" s="18">
        <f>H7</f>
        <v>900</v>
      </c>
      <c r="D27" s="17">
        <f>ROUND(C27*22.86,-1)</f>
        <v>20570</v>
      </c>
      <c r="E27" s="19"/>
      <c r="F27" s="30" t="s">
        <v>100</v>
      </c>
      <c r="G27" s="18">
        <f>H7</f>
        <v>900</v>
      </c>
      <c r="H27" s="17">
        <f>ROUND(G27*24,-1)</f>
        <v>21600</v>
      </c>
    </row>
    <row r="28" spans="1:15" ht="18" customHeight="1">
      <c r="A28" s="20"/>
      <c r="B28" s="38" t="s">
        <v>5</v>
      </c>
      <c r="C28" s="39"/>
      <c r="D28" s="21">
        <f>SUM(D22:D27)</f>
        <v>112470</v>
      </c>
      <c r="E28" s="20"/>
      <c r="F28" s="38" t="s">
        <v>5</v>
      </c>
      <c r="G28" s="39"/>
      <c r="H28" s="21">
        <f>SUM(H22:H27)</f>
        <v>132080</v>
      </c>
    </row>
    <row r="29" spans="1:15" ht="18" customHeight="1">
      <c r="A29" s="15" t="s">
        <v>23</v>
      </c>
      <c r="B29" s="29" t="s">
        <v>4</v>
      </c>
      <c r="C29" s="16">
        <f>H3</f>
        <v>1370</v>
      </c>
      <c r="D29" s="17">
        <f>ROUNDUP(C29*24,-1)</f>
        <v>32880</v>
      </c>
      <c r="E29" s="15" t="s">
        <v>34</v>
      </c>
      <c r="F29" s="29" t="s">
        <v>4</v>
      </c>
      <c r="G29" s="16">
        <f>H3</f>
        <v>1370</v>
      </c>
      <c r="H29" s="17">
        <f>ROUNDUP(G29*22.86,-1)</f>
        <v>31320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  <c r="K30" s="1" t="s">
        <v>163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  <c r="K31" s="1" t="s">
        <v>164</v>
      </c>
      <c r="M31" s="1" t="s">
        <v>166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  <c r="K32" s="1" t="s">
        <v>165</v>
      </c>
    </row>
    <row r="33" spans="1:10" ht="18" customHeight="1">
      <c r="A33" s="19"/>
      <c r="B33" s="30" t="s">
        <v>98</v>
      </c>
      <c r="C33" s="18">
        <f>H6</f>
        <v>1070</v>
      </c>
      <c r="D33" s="17">
        <f>ROUND(C33*24,-1)</f>
        <v>25680</v>
      </c>
      <c r="E33" s="19"/>
      <c r="F33" s="30" t="s">
        <v>98</v>
      </c>
      <c r="G33" s="18">
        <f>H6</f>
        <v>1070</v>
      </c>
      <c r="H33" s="17">
        <f>ROUND(G33*22.86,-1)</f>
        <v>24460</v>
      </c>
    </row>
    <row r="34" spans="1:10" ht="18" customHeight="1">
      <c r="A34" s="19"/>
      <c r="B34" s="30" t="s">
        <v>100</v>
      </c>
      <c r="C34" s="18">
        <f>H7</f>
        <v>900</v>
      </c>
      <c r="D34" s="17">
        <f>ROUND(C34*24,-1)</f>
        <v>21600</v>
      </c>
      <c r="E34" s="19"/>
      <c r="F34" s="30" t="s">
        <v>100</v>
      </c>
      <c r="G34" s="18">
        <f>H7</f>
        <v>900</v>
      </c>
      <c r="H34" s="17">
        <f>ROUND(G34*22.86,-1)</f>
        <v>20570</v>
      </c>
    </row>
    <row r="35" spans="1:10" ht="18" customHeight="1">
      <c r="A35" s="20"/>
      <c r="B35" s="38" t="s">
        <v>5</v>
      </c>
      <c r="C35" s="39"/>
      <c r="D35" s="21">
        <f>SUM(D29:D34)</f>
        <v>122080</v>
      </c>
      <c r="E35" s="20"/>
      <c r="F35" s="38" t="s">
        <v>5</v>
      </c>
      <c r="G35" s="39"/>
      <c r="H35" s="21">
        <f>SUM(H29:H34)</f>
        <v>127470</v>
      </c>
    </row>
    <row r="36" spans="1:10" s="3" customFormat="1" ht="18" customHeight="1">
      <c r="A36" s="15" t="s">
        <v>26</v>
      </c>
      <c r="B36" s="29" t="s">
        <v>4</v>
      </c>
      <c r="C36" s="16">
        <f>H3</f>
        <v>1370</v>
      </c>
      <c r="D36" s="17">
        <f>ROUNDUP(C36*14.35,-1)</f>
        <v>19660</v>
      </c>
      <c r="E36" s="15" t="s">
        <v>102</v>
      </c>
      <c r="F36" s="29" t="s">
        <v>4</v>
      </c>
      <c r="G36" s="16">
        <f>H3</f>
        <v>1370</v>
      </c>
      <c r="H36" s="17">
        <f>ROUNDUP(G36*14,-1)</f>
        <v>19180</v>
      </c>
    </row>
    <row r="37" spans="1:10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0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0</v>
      </c>
    </row>
    <row r="39" spans="1:10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0" s="3" customFormat="1" ht="18" customHeight="1">
      <c r="A40" s="19"/>
      <c r="B40" s="30" t="s">
        <v>98</v>
      </c>
      <c r="C40" s="18">
        <f>H6</f>
        <v>1070</v>
      </c>
      <c r="D40" s="17">
        <f>ROUND(C40*14.35,-1)</f>
        <v>15350</v>
      </c>
      <c r="E40" s="19"/>
      <c r="F40" s="30" t="s">
        <v>98</v>
      </c>
      <c r="G40" s="18">
        <f>H6</f>
        <v>1070</v>
      </c>
      <c r="H40" s="17">
        <f>ROUND(G40*14,-1)</f>
        <v>14980</v>
      </c>
    </row>
    <row r="41" spans="1:10" s="3" customFormat="1" ht="18" customHeight="1">
      <c r="A41" s="19"/>
      <c r="B41" s="30" t="s">
        <v>100</v>
      </c>
      <c r="C41" s="18">
        <f>H7</f>
        <v>900</v>
      </c>
      <c r="D41" s="17">
        <f>ROUND(C41*14.35,-1)</f>
        <v>12920</v>
      </c>
      <c r="E41" s="19"/>
      <c r="F41" s="30" t="s">
        <v>100</v>
      </c>
      <c r="G41" s="18">
        <f>H7</f>
        <v>900</v>
      </c>
      <c r="H41" s="17">
        <f>ROUND(G41*14,-1)</f>
        <v>12600</v>
      </c>
    </row>
    <row r="42" spans="1:10" s="3" customFormat="1" ht="18" customHeight="1">
      <c r="A42" s="20"/>
      <c r="B42" s="38" t="s">
        <v>5</v>
      </c>
      <c r="C42" s="39"/>
      <c r="D42" s="21">
        <f>SUM(D36:D41)</f>
        <v>74610</v>
      </c>
      <c r="E42" s="20"/>
      <c r="F42" s="38" t="s">
        <v>5</v>
      </c>
      <c r="G42" s="39"/>
      <c r="H42" s="21">
        <f>SUM(H36:H41)</f>
        <v>68880</v>
      </c>
    </row>
    <row r="43" spans="1:10" s="3" customFormat="1" ht="18" customHeight="1">
      <c r="A43" s="15" t="s">
        <v>28</v>
      </c>
      <c r="B43" s="29" t="s">
        <v>4</v>
      </c>
      <c r="C43" s="16">
        <f>H3</f>
        <v>1370</v>
      </c>
      <c r="D43" s="17">
        <f>ROUNDUP(C43*24,-1)</f>
        <v>32880</v>
      </c>
      <c r="E43" s="1"/>
    </row>
    <row r="44" spans="1:10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  <c r="J44" s="71"/>
    </row>
    <row r="45" spans="1:10" s="3" customFormat="1" ht="18" customHeight="1">
      <c r="A45" s="19"/>
      <c r="B45" s="30" t="s">
        <v>35</v>
      </c>
      <c r="C45" s="37"/>
      <c r="D45" s="49">
        <v>15000</v>
      </c>
      <c r="E45" s="1"/>
    </row>
    <row r="46" spans="1:10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0" s="3" customFormat="1" ht="18" customHeight="1">
      <c r="A47" s="19"/>
      <c r="B47" s="30" t="s">
        <v>98</v>
      </c>
      <c r="C47" s="18">
        <f>H6</f>
        <v>1070</v>
      </c>
      <c r="D47" s="17">
        <f>ROUND(C47*24,-1)</f>
        <v>25680</v>
      </c>
      <c r="E47" s="1"/>
    </row>
    <row r="48" spans="1:10" s="3" customFormat="1" ht="18" customHeight="1">
      <c r="A48" s="19"/>
      <c r="B48" s="30" t="s">
        <v>100</v>
      </c>
      <c r="C48" s="18">
        <f>H7</f>
        <v>900</v>
      </c>
      <c r="D48" s="17">
        <f>ROUND(C48*24,-1)</f>
        <v>21600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133080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1370</v>
      </c>
      <c r="D53" s="17">
        <f>ROUNDUP(C53*99,-1)</f>
        <v>135630</v>
      </c>
      <c r="E53" s="15" t="s">
        <v>36</v>
      </c>
      <c r="F53" s="29" t="s">
        <v>4</v>
      </c>
      <c r="G53" s="16">
        <f>H3</f>
        <v>1370</v>
      </c>
      <c r="H53" s="17">
        <f>ROUNDUP(G53*59,-1)</f>
        <v>80830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16000</v>
      </c>
      <c r="E55" s="19"/>
      <c r="F55" s="30" t="s">
        <v>35</v>
      </c>
      <c r="G55" s="37"/>
      <c r="H55" s="49">
        <v>9000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1070</v>
      </c>
      <c r="D57" s="17">
        <f>ROUND(C57*99,-1)</f>
        <v>105930</v>
      </c>
      <c r="E57" s="19"/>
      <c r="F57" s="30" t="s">
        <v>98</v>
      </c>
      <c r="G57" s="18">
        <f>H6</f>
        <v>1070</v>
      </c>
      <c r="H57" s="17">
        <f>ROUND(G57*59,-1)</f>
        <v>63130</v>
      </c>
    </row>
    <row r="58" spans="1:8" s="3" customFormat="1" ht="18" customHeight="1">
      <c r="A58" s="19"/>
      <c r="B58" s="30" t="s">
        <v>100</v>
      </c>
      <c r="C58" s="18">
        <f>H7</f>
        <v>900</v>
      </c>
      <c r="D58" s="17">
        <f>ROUND(C58*99,-1)</f>
        <v>89100</v>
      </c>
      <c r="E58" s="19"/>
      <c r="F58" s="30" t="s">
        <v>100</v>
      </c>
      <c r="G58" s="18">
        <f>H7</f>
        <v>900</v>
      </c>
      <c r="H58" s="17">
        <f>ROUND(G58*59,-1)</f>
        <v>53100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503080</v>
      </c>
      <c r="E59" s="20"/>
      <c r="F59" s="38" t="s">
        <v>5</v>
      </c>
      <c r="G59" s="39"/>
      <c r="H59" s="21">
        <f>SUM(H53:H58)</f>
        <v>299280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1370</v>
      </c>
      <c r="D63" s="17">
        <f>ROUNDUP(C63*52,-1)</f>
        <v>71240</v>
      </c>
      <c r="E63" s="15" t="s">
        <v>40</v>
      </c>
      <c r="F63" s="29" t="s">
        <v>4</v>
      </c>
      <c r="G63" s="16">
        <f>H3</f>
        <v>1370</v>
      </c>
      <c r="H63" s="17">
        <f>ROUNDUP(G63*51,-1)</f>
        <v>69870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5000</v>
      </c>
      <c r="E65" s="19"/>
      <c r="F65" s="30" t="s">
        <v>35</v>
      </c>
      <c r="G65" s="37"/>
      <c r="H65" s="49">
        <v>5000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1070</v>
      </c>
      <c r="D67" s="17">
        <f>ROUND(C67*52,-1)</f>
        <v>55640</v>
      </c>
      <c r="E67" s="19"/>
      <c r="F67" s="30" t="s">
        <v>98</v>
      </c>
      <c r="G67" s="18">
        <f>H6</f>
        <v>1070</v>
      </c>
      <c r="H67" s="17">
        <f>ROUND(G67*51,-1)</f>
        <v>54570</v>
      </c>
    </row>
    <row r="68" spans="1:8" s="3" customFormat="1" ht="18" customHeight="1">
      <c r="A68" s="19"/>
      <c r="B68" s="30" t="s">
        <v>100</v>
      </c>
      <c r="C68" s="18">
        <f>H7</f>
        <v>900</v>
      </c>
      <c r="D68" s="17">
        <f>ROUND(C68*52,-1)</f>
        <v>46800</v>
      </c>
      <c r="E68" s="19"/>
      <c r="F68" s="30" t="s">
        <v>100</v>
      </c>
      <c r="G68" s="18">
        <f>H7</f>
        <v>900</v>
      </c>
      <c r="H68" s="17">
        <f>ROUND(G68*51,-1)</f>
        <v>45900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260840</v>
      </c>
      <c r="E69" s="20"/>
      <c r="F69" s="38" t="s">
        <v>5</v>
      </c>
      <c r="G69" s="39"/>
      <c r="H69" s="21">
        <f>SUM(H63:H68)</f>
        <v>255920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1370</v>
      </c>
      <c r="D70" s="17">
        <f>ROUNDUP(C70*47,-1)</f>
        <v>64390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1070</v>
      </c>
      <c r="D74" s="17">
        <f>ROUND(C74*47,-1)</f>
        <v>50290</v>
      </c>
      <c r="E74" s="1"/>
    </row>
    <row r="75" spans="1:8" s="3" customFormat="1" ht="18" customHeight="1">
      <c r="A75" s="19"/>
      <c r="B75" s="30" t="s">
        <v>100</v>
      </c>
      <c r="C75" s="18">
        <f>H7</f>
        <v>900</v>
      </c>
      <c r="D75" s="17">
        <f>ROUND(C75*47,-1)</f>
        <v>42300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231240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1370</v>
      </c>
      <c r="D80" s="17">
        <f>ROUNDUP(C80*52,-1)</f>
        <v>71240</v>
      </c>
      <c r="E80" s="15" t="s">
        <v>15</v>
      </c>
      <c r="F80" s="29" t="s">
        <v>4</v>
      </c>
      <c r="G80" s="16">
        <f>H3</f>
        <v>1370</v>
      </c>
      <c r="H80" s="17">
        <f>ROUNDUP(G80*51,-1)</f>
        <v>69870</v>
      </c>
    </row>
    <row r="81" spans="1:15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5" s="3" customFormat="1" ht="18" customHeight="1">
      <c r="A82" s="19"/>
      <c r="B82" s="30" t="s">
        <v>35</v>
      </c>
      <c r="C82" s="37"/>
      <c r="D82" s="49"/>
      <c r="E82" s="19"/>
      <c r="F82" s="30" t="s">
        <v>35</v>
      </c>
      <c r="G82" s="37"/>
      <c r="H82" s="49">
        <v>8000</v>
      </c>
    </row>
    <row r="83" spans="1:15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5" s="3" customFormat="1" ht="18" customHeight="1">
      <c r="A84" s="19"/>
      <c r="B84" s="30" t="s">
        <v>98</v>
      </c>
      <c r="C84" s="18">
        <f>H6</f>
        <v>1070</v>
      </c>
      <c r="D84" s="17">
        <f>ROUND(C84*52,-1)</f>
        <v>55640</v>
      </c>
      <c r="E84" s="19"/>
      <c r="F84" s="30" t="s">
        <v>98</v>
      </c>
      <c r="G84" s="18">
        <f>H6</f>
        <v>1070</v>
      </c>
      <c r="H84" s="17">
        <f>ROUND(G84*51,-1)</f>
        <v>54570</v>
      </c>
    </row>
    <row r="85" spans="1:15" s="3" customFormat="1" ht="18" customHeight="1">
      <c r="A85" s="19"/>
      <c r="B85" s="30" t="s">
        <v>100</v>
      </c>
      <c r="C85" s="18">
        <f>H7</f>
        <v>900</v>
      </c>
      <c r="D85" s="17">
        <f>ROUND(C85*52,-1)</f>
        <v>46800</v>
      </c>
      <c r="E85" s="19"/>
      <c r="F85" s="30" t="s">
        <v>100</v>
      </c>
      <c r="G85" s="18">
        <f>H7</f>
        <v>900</v>
      </c>
      <c r="H85" s="17">
        <f>ROUND(G85*51,-1)</f>
        <v>45900</v>
      </c>
    </row>
    <row r="86" spans="1:15" s="3" customFormat="1" ht="18" customHeight="1">
      <c r="A86" s="20"/>
      <c r="B86" s="38"/>
      <c r="C86" s="39"/>
      <c r="D86" s="21">
        <f>SUM(D80:D85)</f>
        <v>255840</v>
      </c>
      <c r="E86" s="20"/>
      <c r="F86" s="38" t="s">
        <v>5</v>
      </c>
      <c r="G86" s="39"/>
      <c r="H86" s="21">
        <f>SUM(H80:H85)</f>
        <v>258920</v>
      </c>
    </row>
    <row r="87" spans="1:15" s="3" customFormat="1" ht="18" customHeight="1">
      <c r="A87" s="15" t="s">
        <v>44</v>
      </c>
      <c r="B87" s="29" t="s">
        <v>4</v>
      </c>
      <c r="C87" s="16">
        <f>H3</f>
        <v>1370</v>
      </c>
      <c r="D87" s="17">
        <f>ROUNDUP(C87*49,-1)</f>
        <v>67130</v>
      </c>
      <c r="E87" s="15" t="s">
        <v>45</v>
      </c>
      <c r="F87" s="30" t="s">
        <v>172</v>
      </c>
      <c r="G87" s="16">
        <v>391000</v>
      </c>
      <c r="H87" s="17">
        <v>391000</v>
      </c>
    </row>
    <row r="88" spans="1:15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173</v>
      </c>
      <c r="G88" s="18"/>
      <c r="H88" s="17"/>
    </row>
    <row r="89" spans="1:15" s="3" customFormat="1" ht="18" customHeight="1">
      <c r="A89" s="19"/>
      <c r="B89" s="30" t="s">
        <v>35</v>
      </c>
      <c r="C89" s="37"/>
      <c r="D89" s="49">
        <v>13000</v>
      </c>
      <c r="E89" s="19"/>
      <c r="F89" s="30"/>
      <c r="G89" s="37"/>
      <c r="H89" s="17"/>
      <c r="O89" s="3" t="s">
        <v>167</v>
      </c>
    </row>
    <row r="90" spans="1:15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174</v>
      </c>
      <c r="G90" s="18">
        <v>10000</v>
      </c>
      <c r="H90" s="17">
        <v>10000</v>
      </c>
    </row>
    <row r="91" spans="1:15" s="3" customFormat="1" ht="18" customHeight="1">
      <c r="A91" s="19"/>
      <c r="B91" s="30" t="s">
        <v>98</v>
      </c>
      <c r="C91" s="18">
        <f>H6</f>
        <v>1070</v>
      </c>
      <c r="D91" s="17">
        <f>ROUND(C91*47,-1)</f>
        <v>50290</v>
      </c>
      <c r="E91" s="19"/>
      <c r="F91" s="30"/>
      <c r="G91" s="18"/>
      <c r="H91" s="17"/>
    </row>
    <row r="92" spans="1:15" s="3" customFormat="1" ht="18" customHeight="1">
      <c r="A92" s="19"/>
      <c r="B92" s="30" t="s">
        <v>100</v>
      </c>
      <c r="C92" s="18">
        <f>H7</f>
        <v>900</v>
      </c>
      <c r="D92" s="17">
        <f>ROUND(C92*47,-1)</f>
        <v>42300</v>
      </c>
      <c r="E92" s="19"/>
      <c r="F92" s="40"/>
      <c r="G92" s="40"/>
      <c r="H92" s="40"/>
    </row>
    <row r="93" spans="1:15" s="3" customFormat="1" ht="18" customHeight="1">
      <c r="A93" s="20"/>
      <c r="B93" s="38" t="s">
        <v>5</v>
      </c>
      <c r="C93" s="39"/>
      <c r="D93" s="21">
        <f>SUM(D87:D92)</f>
        <v>248700</v>
      </c>
      <c r="E93" s="20"/>
      <c r="F93" s="38" t="s">
        <v>5</v>
      </c>
      <c r="G93" s="39"/>
      <c r="H93" s="21">
        <f>SUM(H87:H90)</f>
        <v>401000</v>
      </c>
    </row>
    <row r="94" spans="1:15" s="3" customFormat="1" ht="17.100000000000001" customHeight="1">
      <c r="E94" s="1"/>
    </row>
    <row r="95" spans="1:15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15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57E54-DE04-4FD9-A28A-80DE410658D6}">
  <dimension ref="A1:O150"/>
  <sheetViews>
    <sheetView zoomScaleNormal="100" workbookViewId="0">
      <selection activeCell="D24" sqref="D24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96" t="s">
        <v>212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213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603932</v>
      </c>
      <c r="E3" s="95" t="s">
        <v>52</v>
      </c>
      <c r="F3" s="95"/>
      <c r="G3" s="95"/>
      <c r="H3" s="32">
        <f>ROUNDUP((D7/605)*110%,-1)</f>
        <v>1250</v>
      </c>
    </row>
    <row r="4" spans="1:10" ht="17.100000000000001" customHeight="1">
      <c r="A4" s="84" t="s">
        <v>21</v>
      </c>
      <c r="B4" s="84"/>
      <c r="C4" s="84"/>
      <c r="D4" s="26">
        <f>SUM(D3:D3)</f>
        <v>603932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60393.200000000004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22340</v>
      </c>
      <c r="E6" s="95" t="s">
        <v>99</v>
      </c>
      <c r="F6" s="95"/>
      <c r="G6" s="95"/>
      <c r="H6" s="33">
        <f>ROUNDUP((D12/619)*110%,-1)</f>
        <v>1070</v>
      </c>
    </row>
    <row r="7" spans="1:10" ht="17.100000000000001" customHeight="1">
      <c r="A7" s="94" t="s">
        <v>32</v>
      </c>
      <c r="B7" s="94"/>
      <c r="C7" s="94"/>
      <c r="D7" s="28">
        <f>SUM(D4:D6)</f>
        <v>686665.2</v>
      </c>
      <c r="E7" s="95" t="s">
        <v>101</v>
      </c>
      <c r="F7" s="95"/>
      <c r="G7" s="95"/>
      <c r="H7" s="72">
        <v>900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214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v>601000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141730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101" t="s">
        <v>148</v>
      </c>
      <c r="B18" s="102"/>
      <c r="C18" s="103"/>
      <c r="D18" s="34">
        <f>SUM(D12:D17)+D7+D11+J22</f>
        <v>2846055.2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3428500</v>
      </c>
      <c r="L21" s="5"/>
      <c r="N21" s="5">
        <f>D24+H24+D31+H31+D38+H38+D45+D55+H55+D65+H65+D72+D82+H82+D89</f>
        <v>123730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1250</v>
      </c>
      <c r="D22" s="17">
        <f>ROUNDUP(C22*22.86,-1)</f>
        <v>28580</v>
      </c>
      <c r="E22" s="15" t="s">
        <v>13</v>
      </c>
      <c r="F22" s="29" t="s">
        <v>4</v>
      </c>
      <c r="G22" s="16">
        <f>H3</f>
        <v>1250</v>
      </c>
      <c r="H22" s="22">
        <f>ROUNDUP(G22*24,-1)</f>
        <v>30000</v>
      </c>
      <c r="J22" s="5">
        <f>D27+H27+D34+H34+D41+H41+D48+D58+H58+D68+H68+D75+D85+H85+D92</f>
        <v>543660</v>
      </c>
      <c r="N22" s="5">
        <f>D27+H27+D34+H34+D41+H41+D48+D58+H58+D68+H68+D75+D85+H85+D92</f>
        <v>543660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18000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1070</v>
      </c>
      <c r="D26" s="17">
        <f>ROUND(C26*22.86,-1)</f>
        <v>24460</v>
      </c>
      <c r="E26" s="19"/>
      <c r="F26" s="30" t="s">
        <v>98</v>
      </c>
      <c r="G26" s="18">
        <f>H6</f>
        <v>1070</v>
      </c>
      <c r="H26" s="17">
        <f>ROUND(G26*24,-1)</f>
        <v>25680</v>
      </c>
      <c r="J26" s="5"/>
    </row>
    <row r="27" spans="1:15" ht="18" customHeight="1">
      <c r="A27" s="19"/>
      <c r="B27" s="30" t="s">
        <v>100</v>
      </c>
      <c r="C27" s="18">
        <f>H7</f>
        <v>900</v>
      </c>
      <c r="D27" s="17">
        <f>ROUND(C27*22.86,-1)</f>
        <v>20570</v>
      </c>
      <c r="E27" s="19"/>
      <c r="F27" s="30" t="s">
        <v>100</v>
      </c>
      <c r="G27" s="18">
        <f>H7</f>
        <v>900</v>
      </c>
      <c r="H27" s="17">
        <f>ROUND(G27*24,-1)</f>
        <v>21600</v>
      </c>
    </row>
    <row r="28" spans="1:15" ht="18" customHeight="1">
      <c r="A28" s="20"/>
      <c r="B28" s="38" t="s">
        <v>5</v>
      </c>
      <c r="C28" s="39"/>
      <c r="D28" s="21">
        <f>SUM(D22:D27)</f>
        <v>109730</v>
      </c>
      <c r="E28" s="20"/>
      <c r="F28" s="38" t="s">
        <v>5</v>
      </c>
      <c r="G28" s="39"/>
      <c r="H28" s="21">
        <f>SUM(H22:H27)</f>
        <v>133200</v>
      </c>
    </row>
    <row r="29" spans="1:15" ht="18" customHeight="1">
      <c r="A29" s="15" t="s">
        <v>23</v>
      </c>
      <c r="B29" s="29" t="s">
        <v>4</v>
      </c>
      <c r="C29" s="16">
        <f>H3</f>
        <v>1250</v>
      </c>
      <c r="D29" s="17">
        <f>ROUNDUP(C29*24,-1)</f>
        <v>30000</v>
      </c>
      <c r="E29" s="15" t="s">
        <v>34</v>
      </c>
      <c r="F29" s="29" t="s">
        <v>4</v>
      </c>
      <c r="G29" s="16">
        <f>H3</f>
        <v>1250</v>
      </c>
      <c r="H29" s="17">
        <f>ROUNDUP(G29*22.86,-1)</f>
        <v>28580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17000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1070</v>
      </c>
      <c r="D33" s="17">
        <f>ROUND(C33*24,-1)</f>
        <v>25680</v>
      </c>
      <c r="E33" s="19"/>
      <c r="F33" s="30" t="s">
        <v>98</v>
      </c>
      <c r="G33" s="18">
        <f>H6</f>
        <v>1070</v>
      </c>
      <c r="H33" s="17">
        <f>ROUND(G33*22.86,-1)</f>
        <v>24460</v>
      </c>
    </row>
    <row r="34" spans="1:8" ht="18" customHeight="1">
      <c r="A34" s="19"/>
      <c r="B34" s="30" t="s">
        <v>100</v>
      </c>
      <c r="C34" s="18">
        <f>H7</f>
        <v>900</v>
      </c>
      <c r="D34" s="17">
        <f>ROUND(C34*24,-1)</f>
        <v>21600</v>
      </c>
      <c r="E34" s="19"/>
      <c r="F34" s="30" t="s">
        <v>100</v>
      </c>
      <c r="G34" s="18">
        <f>H7</f>
        <v>900</v>
      </c>
      <c r="H34" s="17">
        <f>ROUND(G34*22.86,-1)</f>
        <v>20570</v>
      </c>
    </row>
    <row r="35" spans="1:8" ht="18" customHeight="1">
      <c r="A35" s="20"/>
      <c r="B35" s="38" t="s">
        <v>5</v>
      </c>
      <c r="C35" s="39"/>
      <c r="D35" s="21">
        <f>SUM(D29:D34)</f>
        <v>119200</v>
      </c>
      <c r="E35" s="20"/>
      <c r="F35" s="38" t="s">
        <v>5</v>
      </c>
      <c r="G35" s="39"/>
      <c r="H35" s="21">
        <f>SUM(H29:H34)</f>
        <v>126730</v>
      </c>
    </row>
    <row r="36" spans="1:8" s="3" customFormat="1" ht="18" customHeight="1">
      <c r="A36" s="15" t="s">
        <v>26</v>
      </c>
      <c r="B36" s="29" t="s">
        <v>4</v>
      </c>
      <c r="C36" s="16">
        <f>H3</f>
        <v>1250</v>
      </c>
      <c r="D36" s="17">
        <f>ROUNDUP(C36*14.35,-1)</f>
        <v>17940</v>
      </c>
      <c r="E36" s="15" t="s">
        <v>102</v>
      </c>
      <c r="F36" s="29" t="s">
        <v>4</v>
      </c>
      <c r="G36" s="16">
        <f>H3</f>
        <v>1250</v>
      </c>
      <c r="H36" s="17">
        <f>ROUNDUP(G36*14,-1)</f>
        <v>17500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0</v>
      </c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1070</v>
      </c>
      <c r="D40" s="17">
        <f>ROUND(C40*14.35,-1)</f>
        <v>15350</v>
      </c>
      <c r="E40" s="19"/>
      <c r="F40" s="30" t="s">
        <v>98</v>
      </c>
      <c r="G40" s="18">
        <f>H6</f>
        <v>1070</v>
      </c>
      <c r="H40" s="17">
        <f>ROUND(G40*14,-1)</f>
        <v>14980</v>
      </c>
    </row>
    <row r="41" spans="1:8" s="3" customFormat="1" ht="18" customHeight="1">
      <c r="A41" s="19"/>
      <c r="B41" s="30" t="s">
        <v>100</v>
      </c>
      <c r="C41" s="18">
        <f>H7</f>
        <v>900</v>
      </c>
      <c r="D41" s="17">
        <f>ROUND(C41*14.35,-1)</f>
        <v>12920</v>
      </c>
      <c r="E41" s="19"/>
      <c r="F41" s="30" t="s">
        <v>100</v>
      </c>
      <c r="G41" s="18">
        <f>H7</f>
        <v>900</v>
      </c>
      <c r="H41" s="17">
        <f>ROUND(G41*14,-1)</f>
        <v>12600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72890</v>
      </c>
      <c r="E42" s="20"/>
      <c r="F42" s="38" t="s">
        <v>5</v>
      </c>
      <c r="G42" s="39"/>
      <c r="H42" s="21">
        <f>SUM(H36:H41)</f>
        <v>67200</v>
      </c>
    </row>
    <row r="43" spans="1:8" s="3" customFormat="1" ht="18" customHeight="1">
      <c r="A43" s="15" t="s">
        <v>28</v>
      </c>
      <c r="B43" s="29" t="s">
        <v>4</v>
      </c>
      <c r="C43" s="16">
        <f>H3</f>
        <v>1250</v>
      </c>
      <c r="D43" s="17">
        <f>ROUNDUP(C43*24,-1)</f>
        <v>30000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17000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1070</v>
      </c>
      <c r="D47" s="17">
        <f>ROUND(C47*24,-1)</f>
        <v>25680</v>
      </c>
      <c r="E47" s="1"/>
    </row>
    <row r="48" spans="1:8" s="3" customFormat="1" ht="18" customHeight="1">
      <c r="A48" s="19"/>
      <c r="B48" s="30" t="s">
        <v>100</v>
      </c>
      <c r="C48" s="18">
        <f>H7</f>
        <v>900</v>
      </c>
      <c r="D48" s="17">
        <f>ROUND(C48*24,-1)</f>
        <v>21600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132200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1250</v>
      </c>
      <c r="D53" s="17">
        <f>ROUNDUP(C53*99,-1)</f>
        <v>123750</v>
      </c>
      <c r="E53" s="15" t="s">
        <v>36</v>
      </c>
      <c r="F53" s="29" t="s">
        <v>4</v>
      </c>
      <c r="G53" s="16">
        <f>H3</f>
        <v>1250</v>
      </c>
      <c r="H53" s="17">
        <f>ROUNDUP(G53*59,-1)</f>
        <v>73750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15000</v>
      </c>
      <c r="E55" s="19"/>
      <c r="F55" s="30" t="s">
        <v>35</v>
      </c>
      <c r="G55" s="37"/>
      <c r="H55" s="49">
        <v>11000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1070</v>
      </c>
      <c r="D57" s="17">
        <f>ROUND(C57*99,-1)</f>
        <v>105930</v>
      </c>
      <c r="E57" s="19"/>
      <c r="F57" s="30" t="s">
        <v>98</v>
      </c>
      <c r="G57" s="18">
        <f>H6</f>
        <v>1070</v>
      </c>
      <c r="H57" s="17">
        <f>ROUND(G57*59,-1)</f>
        <v>63130</v>
      </c>
    </row>
    <row r="58" spans="1:8" s="3" customFormat="1" ht="18" customHeight="1">
      <c r="A58" s="19"/>
      <c r="B58" s="30" t="s">
        <v>100</v>
      </c>
      <c r="C58" s="18">
        <f>H7</f>
        <v>900</v>
      </c>
      <c r="D58" s="17">
        <f>ROUND(C58*99,-1)</f>
        <v>89100</v>
      </c>
      <c r="E58" s="19"/>
      <c r="F58" s="30" t="s">
        <v>100</v>
      </c>
      <c r="G58" s="18">
        <f>H7</f>
        <v>900</v>
      </c>
      <c r="H58" s="17">
        <f>ROUND(G58*59,-1)</f>
        <v>53100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490200</v>
      </c>
      <c r="E59" s="20"/>
      <c r="F59" s="38" t="s">
        <v>5</v>
      </c>
      <c r="G59" s="39"/>
      <c r="H59" s="21">
        <f>SUM(H53:H58)</f>
        <v>294200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1250</v>
      </c>
      <c r="D63" s="17">
        <f>ROUNDUP(C63*52,-1)</f>
        <v>65000</v>
      </c>
      <c r="E63" s="15" t="s">
        <v>40</v>
      </c>
      <c r="F63" s="29" t="s">
        <v>4</v>
      </c>
      <c r="G63" s="16">
        <f>H3</f>
        <v>1250</v>
      </c>
      <c r="H63" s="17">
        <f>ROUNDUP(G63*51,-1)</f>
        <v>63750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6000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1070</v>
      </c>
      <c r="D67" s="17">
        <f>ROUND(C67*52,-1)</f>
        <v>55640</v>
      </c>
      <c r="E67" s="19"/>
      <c r="F67" s="30" t="s">
        <v>98</v>
      </c>
      <c r="G67" s="18">
        <f>H6</f>
        <v>1070</v>
      </c>
      <c r="H67" s="17">
        <f>ROUND(G67*51,-1)</f>
        <v>54570</v>
      </c>
    </row>
    <row r="68" spans="1:8" s="3" customFormat="1" ht="18" customHeight="1">
      <c r="A68" s="19"/>
      <c r="B68" s="30" t="s">
        <v>100</v>
      </c>
      <c r="C68" s="18">
        <f>H7</f>
        <v>900</v>
      </c>
      <c r="D68" s="17">
        <f>ROUND(C68*52,-1)</f>
        <v>46800</v>
      </c>
      <c r="E68" s="19"/>
      <c r="F68" s="30" t="s">
        <v>100</v>
      </c>
      <c r="G68" s="18">
        <f>H7</f>
        <v>900</v>
      </c>
      <c r="H68" s="17">
        <f>ROUND(G68*51,-1)</f>
        <v>45900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255600</v>
      </c>
      <c r="E69" s="20"/>
      <c r="F69" s="38" t="s">
        <v>5</v>
      </c>
      <c r="G69" s="39"/>
      <c r="H69" s="21">
        <f>SUM(H63:H68)</f>
        <v>250800</v>
      </c>
    </row>
    <row r="70" spans="1:8" s="3" customFormat="1" ht="18" customHeight="1">
      <c r="A70" s="15" t="s">
        <v>41</v>
      </c>
      <c r="B70" s="29" t="s">
        <v>4</v>
      </c>
      <c r="C70" s="16">
        <f>H3</f>
        <v>1250</v>
      </c>
      <c r="D70" s="17">
        <f>ROUNDUP(C70*47,-1)</f>
        <v>58750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1070</v>
      </c>
      <c r="D74" s="17">
        <f>ROUND(C74*47,-1)</f>
        <v>50290</v>
      </c>
      <c r="E74" s="1"/>
    </row>
    <row r="75" spans="1:8" s="3" customFormat="1" ht="18" customHeight="1">
      <c r="A75" s="19"/>
      <c r="B75" s="30" t="s">
        <v>100</v>
      </c>
      <c r="C75" s="18">
        <f>H7</f>
        <v>900</v>
      </c>
      <c r="D75" s="17">
        <f>ROUND(C75*47,-1)</f>
        <v>42300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225600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1250</v>
      </c>
      <c r="D80" s="17">
        <f>ROUNDUP(C80*52,-1)</f>
        <v>65000</v>
      </c>
      <c r="E80" s="15" t="s">
        <v>15</v>
      </c>
      <c r="F80" s="29" t="s">
        <v>4</v>
      </c>
      <c r="G80" s="16">
        <f>H3</f>
        <v>1250</v>
      </c>
      <c r="H80" s="17">
        <f>ROUNDUP(G80*51,-1)</f>
        <v>63750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730</v>
      </c>
      <c r="E82" s="19"/>
      <c r="F82" s="30" t="s">
        <v>35</v>
      </c>
      <c r="G82" s="37"/>
      <c r="H82" s="49">
        <v>10000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1070</v>
      </c>
      <c r="D84" s="17">
        <f>ROUND(C84*52,-1)</f>
        <v>55640</v>
      </c>
      <c r="E84" s="19"/>
      <c r="F84" s="30" t="s">
        <v>98</v>
      </c>
      <c r="G84" s="18">
        <f>H6</f>
        <v>1070</v>
      </c>
      <c r="H84" s="17">
        <f>ROUND(G84*51,-1)</f>
        <v>54570</v>
      </c>
    </row>
    <row r="85" spans="1:8" s="3" customFormat="1" ht="18" customHeight="1">
      <c r="A85" s="19"/>
      <c r="B85" s="30" t="s">
        <v>100</v>
      </c>
      <c r="C85" s="18">
        <f>H7</f>
        <v>900</v>
      </c>
      <c r="D85" s="17">
        <f>ROUND(C85*52,-1)</f>
        <v>46800</v>
      </c>
      <c r="E85" s="19"/>
      <c r="F85" s="30" t="s">
        <v>100</v>
      </c>
      <c r="G85" s="18">
        <f>H7</f>
        <v>900</v>
      </c>
      <c r="H85" s="17">
        <f>ROUND(G85*51,-1)</f>
        <v>45900</v>
      </c>
    </row>
    <row r="86" spans="1:8" s="3" customFormat="1" ht="18" customHeight="1">
      <c r="A86" s="20"/>
      <c r="B86" s="38"/>
      <c r="C86" s="39"/>
      <c r="D86" s="21">
        <f>SUM(D80:D85)</f>
        <v>250330</v>
      </c>
      <c r="E86" s="20"/>
      <c r="F86" s="38" t="s">
        <v>5</v>
      </c>
      <c r="G86" s="39"/>
      <c r="H86" s="21">
        <f>SUM(H80:H85)</f>
        <v>254800</v>
      </c>
    </row>
    <row r="87" spans="1:8" s="3" customFormat="1" ht="18" customHeight="1">
      <c r="A87" s="15" t="s">
        <v>44</v>
      </c>
      <c r="B87" s="29" t="s">
        <v>4</v>
      </c>
      <c r="C87" s="16">
        <f>H3</f>
        <v>1250</v>
      </c>
      <c r="D87" s="17">
        <f>ROUNDUP(C87*49,-1)</f>
        <v>61250</v>
      </c>
      <c r="E87" s="15" t="s">
        <v>45</v>
      </c>
      <c r="F87" s="30" t="s">
        <v>172</v>
      </c>
      <c r="G87" s="16">
        <v>391000</v>
      </c>
      <c r="H87" s="17">
        <f>G87</f>
        <v>391000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175</v>
      </c>
      <c r="G88" s="18"/>
      <c r="H88" s="17">
        <f t="shared" ref="H88:H92" si="0">G88</f>
        <v>0</v>
      </c>
    </row>
    <row r="89" spans="1:8" s="3" customFormat="1" ht="18" customHeight="1">
      <c r="A89" s="19"/>
      <c r="B89" s="30" t="s">
        <v>35</v>
      </c>
      <c r="C89" s="37"/>
      <c r="D89" s="49">
        <v>15000</v>
      </c>
      <c r="E89" s="19"/>
      <c r="F89" s="30" t="s">
        <v>168</v>
      </c>
      <c r="G89" s="13">
        <v>10000</v>
      </c>
      <c r="H89" s="17">
        <f t="shared" si="0"/>
        <v>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>
        <f t="shared" si="0"/>
        <v>0</v>
      </c>
    </row>
    <row r="91" spans="1:8" s="3" customFormat="1" ht="18" customHeight="1">
      <c r="A91" s="19"/>
      <c r="B91" s="30" t="s">
        <v>98</v>
      </c>
      <c r="C91" s="18">
        <f>H6</f>
        <v>1070</v>
      </c>
      <c r="D91" s="17">
        <f>ROUND(C91*47,-1)</f>
        <v>50290</v>
      </c>
      <c r="E91" s="19"/>
      <c r="F91" s="30"/>
      <c r="G91" s="18"/>
      <c r="H91" s="17">
        <f t="shared" si="0"/>
        <v>0</v>
      </c>
    </row>
    <row r="92" spans="1:8" s="3" customFormat="1" ht="18" customHeight="1">
      <c r="A92" s="19"/>
      <c r="B92" s="30" t="s">
        <v>100</v>
      </c>
      <c r="C92" s="18">
        <f>H7</f>
        <v>900</v>
      </c>
      <c r="D92" s="17">
        <f>ROUND(C92*47,-1)</f>
        <v>42300</v>
      </c>
      <c r="E92" s="19"/>
      <c r="F92" s="40"/>
      <c r="G92" s="40"/>
      <c r="H92" s="17">
        <f t="shared" si="0"/>
        <v>0</v>
      </c>
    </row>
    <row r="93" spans="1:8" s="3" customFormat="1" ht="18" customHeight="1">
      <c r="A93" s="20"/>
      <c r="B93" s="38" t="s">
        <v>5</v>
      </c>
      <c r="C93" s="39"/>
      <c r="D93" s="21">
        <f>SUM(D87:D92)</f>
        <v>244820</v>
      </c>
      <c r="E93" s="20"/>
      <c r="F93" s="38" t="s">
        <v>5</v>
      </c>
      <c r="G93" s="39"/>
      <c r="H93" s="21">
        <f>SUM(H87:H90)</f>
        <v>401000</v>
      </c>
    </row>
    <row r="94" spans="1:8" s="3" customFormat="1" ht="17.100000000000001" customHeight="1">
      <c r="E94" s="1"/>
    </row>
    <row r="95" spans="1:8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D1430-BFDB-4988-B74E-B53F0B2A5C83}">
  <dimension ref="A1:O150"/>
  <sheetViews>
    <sheetView zoomScaleNormal="100" workbookViewId="0">
      <selection activeCell="D24" sqref="D24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96" t="s">
        <v>215</v>
      </c>
      <c r="B1" s="96"/>
      <c r="C1" s="96"/>
      <c r="D1" s="96"/>
      <c r="E1" s="96"/>
      <c r="F1" s="96"/>
      <c r="G1" s="96"/>
      <c r="H1" s="96"/>
    </row>
    <row r="2" spans="1:10" ht="17.100000000000001" customHeight="1">
      <c r="A2" s="97" t="s">
        <v>51</v>
      </c>
      <c r="B2" s="98"/>
      <c r="C2" s="98"/>
      <c r="D2" s="99"/>
      <c r="E2" s="100" t="s">
        <v>216</v>
      </c>
      <c r="F2" s="100"/>
      <c r="G2" s="100"/>
      <c r="H2" s="100"/>
    </row>
    <row r="3" spans="1:10" ht="17.100000000000001" customHeight="1">
      <c r="A3" s="84" t="s">
        <v>142</v>
      </c>
      <c r="B3" s="84"/>
      <c r="C3" s="84"/>
      <c r="D3" s="48">
        <v>644341</v>
      </c>
      <c r="E3" s="95" t="s">
        <v>52</v>
      </c>
      <c r="F3" s="95"/>
      <c r="G3" s="95"/>
      <c r="H3" s="32">
        <f>ROUNDUP((D7/605)*110%,-1)</f>
        <v>1340</v>
      </c>
    </row>
    <row r="4" spans="1:10" ht="17.100000000000001" customHeight="1">
      <c r="A4" s="84" t="s">
        <v>21</v>
      </c>
      <c r="B4" s="84"/>
      <c r="C4" s="84"/>
      <c r="D4" s="26">
        <f>SUM(D3:D3)</f>
        <v>644341</v>
      </c>
      <c r="E4" s="95" t="s">
        <v>53</v>
      </c>
      <c r="F4" s="95"/>
      <c r="G4" s="95"/>
      <c r="H4" s="33">
        <f>ROUNDUP((SUM(D8:D10)/605)*110%,-1)</f>
        <v>860</v>
      </c>
    </row>
    <row r="5" spans="1:10" ht="17.100000000000001" customHeight="1">
      <c r="A5" s="84" t="s">
        <v>0</v>
      </c>
      <c r="B5" s="84"/>
      <c r="C5" s="84"/>
      <c r="D5" s="26">
        <f>D4*0.1</f>
        <v>64434.100000000006</v>
      </c>
      <c r="E5" s="95" t="s">
        <v>54</v>
      </c>
      <c r="F5" s="95"/>
      <c r="G5" s="95"/>
      <c r="H5" s="33">
        <f>ROUNDUP((D14/619)*110%,-1)</f>
        <v>720</v>
      </c>
    </row>
    <row r="6" spans="1:10" ht="17.100000000000001" customHeight="1">
      <c r="A6" s="84" t="s">
        <v>1</v>
      </c>
      <c r="B6" s="84"/>
      <c r="C6" s="84"/>
      <c r="D6" s="48">
        <v>23840</v>
      </c>
      <c r="E6" s="95" t="s">
        <v>99</v>
      </c>
      <c r="F6" s="95"/>
      <c r="G6" s="95"/>
      <c r="H6" s="33">
        <f>ROUNDUP((D12/619)*110%,-1)</f>
        <v>960</v>
      </c>
    </row>
    <row r="7" spans="1:10" ht="17.100000000000001" customHeight="1">
      <c r="A7" s="94" t="s">
        <v>32</v>
      </c>
      <c r="B7" s="94"/>
      <c r="C7" s="94"/>
      <c r="D7" s="28">
        <f>SUM(D4:D6)</f>
        <v>732615.1</v>
      </c>
      <c r="E7" s="95" t="s">
        <v>101</v>
      </c>
      <c r="F7" s="95"/>
      <c r="G7" s="95"/>
      <c r="H7" s="33">
        <f>ROUNDUP(550000/619,-3)</f>
        <v>1000</v>
      </c>
    </row>
    <row r="8" spans="1:10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0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217</v>
      </c>
      <c r="F9" s="86"/>
      <c r="G9" s="86"/>
      <c r="H9" s="87"/>
    </row>
    <row r="10" spans="1:10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</row>
    <row r="11" spans="1:10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</row>
    <row r="12" spans="1:10" ht="17.100000000000001" customHeight="1">
      <c r="A12" s="84" t="s">
        <v>97</v>
      </c>
      <c r="B12" s="84"/>
      <c r="C12" s="84"/>
      <c r="D12" s="70">
        <f>H93+200000</f>
        <v>540000</v>
      </c>
      <c r="E12" s="88"/>
      <c r="F12" s="89"/>
      <c r="G12" s="89"/>
      <c r="H12" s="90"/>
    </row>
    <row r="13" spans="1:10" ht="17.100000000000001" customHeight="1">
      <c r="A13" s="84" t="s">
        <v>146</v>
      </c>
      <c r="B13" s="84"/>
      <c r="C13" s="84"/>
      <c r="D13" s="67">
        <v>128490</v>
      </c>
      <c r="E13" s="88"/>
      <c r="F13" s="89"/>
      <c r="G13" s="89"/>
      <c r="H13" s="90"/>
      <c r="J13" s="41"/>
    </row>
    <row r="14" spans="1:10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0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0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2878175.1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3404790</v>
      </c>
      <c r="L21" s="5"/>
      <c r="N21" s="5">
        <f>D24+H24+D31+H31+D38+H38+D45+D55+H55+D65+H65+D72+D82+H82+D89</f>
        <v>112490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1340</v>
      </c>
      <c r="D22" s="17">
        <f>ROUNDUP(C22*22.86,-1)</f>
        <v>30640</v>
      </c>
      <c r="E22" s="15" t="s">
        <v>13</v>
      </c>
      <c r="F22" s="29" t="s">
        <v>4</v>
      </c>
      <c r="G22" s="16">
        <f>H3</f>
        <v>1340</v>
      </c>
      <c r="H22" s="22">
        <f>ROUNDUP(G22*24,-1)</f>
        <v>32160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15000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960</v>
      </c>
      <c r="D26" s="17">
        <f>ROUND(C26*22.86,-1)</f>
        <v>21950</v>
      </c>
      <c r="E26" s="19"/>
      <c r="F26" s="30" t="s">
        <v>98</v>
      </c>
      <c r="G26" s="18">
        <f>H6</f>
        <v>960</v>
      </c>
      <c r="H26" s="17">
        <f>ROUND(G26*24,-1)</f>
        <v>23040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111570</v>
      </c>
      <c r="E28" s="20"/>
      <c r="F28" s="38" t="s">
        <v>5</v>
      </c>
      <c r="G28" s="39"/>
      <c r="H28" s="21">
        <f>SUM(H22:H27)</f>
        <v>132120</v>
      </c>
    </row>
    <row r="29" spans="1:15" ht="18" customHeight="1">
      <c r="A29" s="15" t="s">
        <v>23</v>
      </c>
      <c r="B29" s="29" t="s">
        <v>4</v>
      </c>
      <c r="C29" s="16">
        <f>H3</f>
        <v>1340</v>
      </c>
      <c r="D29" s="17">
        <f>ROUNDUP(C29*24,-1)</f>
        <v>32160</v>
      </c>
      <c r="E29" s="15" t="s">
        <v>34</v>
      </c>
      <c r="F29" s="29" t="s">
        <v>4</v>
      </c>
      <c r="G29" s="16">
        <f>H3</f>
        <v>1340</v>
      </c>
      <c r="H29" s="17">
        <f>ROUNDUP(G29*22.86,-1)</f>
        <v>30640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960</v>
      </c>
      <c r="D33" s="17">
        <f>ROUND(C33*24,-1)</f>
        <v>23040</v>
      </c>
      <c r="E33" s="19"/>
      <c r="F33" s="30" t="s">
        <v>98</v>
      </c>
      <c r="G33" s="18">
        <f>H6</f>
        <v>960</v>
      </c>
      <c r="H33" s="17">
        <f>ROUND(G33*22.86,-1)</f>
        <v>21950</v>
      </c>
    </row>
    <row r="34" spans="1:8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8" ht="18" customHeight="1">
      <c r="A35" s="20"/>
      <c r="B35" s="38" t="s">
        <v>5</v>
      </c>
      <c r="C35" s="39"/>
      <c r="D35" s="21">
        <f>SUM(D29:D34)</f>
        <v>121120</v>
      </c>
      <c r="E35" s="20"/>
      <c r="F35" s="38" t="s">
        <v>5</v>
      </c>
      <c r="G35" s="39"/>
      <c r="H35" s="21">
        <f>SUM(H29:H34)</f>
        <v>126570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1340</v>
      </c>
      <c r="D36" s="17">
        <f>ROUNDUP(C36*14.35,-1)</f>
        <v>19230</v>
      </c>
      <c r="E36" s="15" t="s">
        <v>102</v>
      </c>
      <c r="F36" s="29" t="s">
        <v>4</v>
      </c>
      <c r="G36" s="16">
        <f>H3</f>
        <v>1340</v>
      </c>
      <c r="H36" s="17">
        <f>ROUNDUP(G36*14,-1)</f>
        <v>18760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960</v>
      </c>
      <c r="D40" s="17">
        <f>ROUND(C40*14.35,-1)</f>
        <v>13780</v>
      </c>
      <c r="E40" s="19"/>
      <c r="F40" s="30" t="s">
        <v>98</v>
      </c>
      <c r="G40" s="18">
        <f>H6</f>
        <v>960</v>
      </c>
      <c r="H40" s="17">
        <f>ROUND(G40*14,-1)</f>
        <v>13440</v>
      </c>
    </row>
    <row r="41" spans="1:8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74040</v>
      </c>
      <c r="E42" s="20"/>
      <c r="F42" s="38" t="s">
        <v>5</v>
      </c>
      <c r="G42" s="39"/>
      <c r="H42" s="21">
        <f>SUM(H36:H41)</f>
        <v>68320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1340</v>
      </c>
      <c r="D43" s="17">
        <f>ROUNDUP(C43*24,-1)</f>
        <v>32160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14000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960</v>
      </c>
      <c r="D47" s="17">
        <f>ROUND(C47*24,-1)</f>
        <v>23040</v>
      </c>
      <c r="E47" s="1"/>
    </row>
    <row r="48" spans="1:8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131120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1340</v>
      </c>
      <c r="D53" s="17">
        <f>ROUNDUP(C53*99,-1)</f>
        <v>132660</v>
      </c>
      <c r="E53" s="15" t="s">
        <v>36</v>
      </c>
      <c r="F53" s="29" t="s">
        <v>4</v>
      </c>
      <c r="G53" s="16">
        <f>H3</f>
        <v>1340</v>
      </c>
      <c r="H53" s="17">
        <f>ROUNDUP(G53*59,-1)</f>
        <v>79060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18000</v>
      </c>
      <c r="E55" s="19"/>
      <c r="F55" s="30" t="s">
        <v>35</v>
      </c>
      <c r="G55" s="37"/>
      <c r="H55" s="49">
        <v>10000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960</v>
      </c>
      <c r="D57" s="17">
        <f>ROUND(C57*99,-1)</f>
        <v>95040</v>
      </c>
      <c r="E57" s="19"/>
      <c r="F57" s="30" t="s">
        <v>98</v>
      </c>
      <c r="G57" s="18">
        <f>H6</f>
        <v>960</v>
      </c>
      <c r="H57" s="17">
        <f>ROUND(G57*59,-1)</f>
        <v>56640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501120</v>
      </c>
      <c r="E59" s="20"/>
      <c r="F59" s="38" t="s">
        <v>5</v>
      </c>
      <c r="G59" s="39"/>
      <c r="H59" s="21">
        <f>SUM(H53:H58)</f>
        <v>297920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1340</v>
      </c>
      <c r="D63" s="17">
        <f>ROUNDUP(C63*52,-1)</f>
        <v>69680</v>
      </c>
      <c r="E63" s="15" t="s">
        <v>40</v>
      </c>
      <c r="F63" s="29" t="s">
        <v>4</v>
      </c>
      <c r="G63" s="16">
        <f>H3</f>
        <v>1340</v>
      </c>
      <c r="H63" s="17">
        <f>ROUNDUP(G63*51,-1)</f>
        <v>68340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6000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960</v>
      </c>
      <c r="D67" s="17">
        <f>ROUND(C67*52,-1)</f>
        <v>49920</v>
      </c>
      <c r="E67" s="19"/>
      <c r="F67" s="30" t="s">
        <v>98</v>
      </c>
      <c r="G67" s="18">
        <f>H6</f>
        <v>960</v>
      </c>
      <c r="H67" s="17">
        <f>ROUND(G67*51,-1)</f>
        <v>48960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259760</v>
      </c>
      <c r="E69" s="20"/>
      <c r="F69" s="38" t="s">
        <v>5</v>
      </c>
      <c r="G69" s="39"/>
      <c r="H69" s="21">
        <f>SUM(H63:H68)</f>
        <v>254880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1340</v>
      </c>
      <c r="D70" s="17">
        <f>ROUNDUP(C70*47,-1)</f>
        <v>62980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960</v>
      </c>
      <c r="D74" s="17">
        <f>ROUND(C74*47,-1)</f>
        <v>45120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229360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1340</v>
      </c>
      <c r="D80" s="17">
        <f>ROUNDUP(C80*52,-1)</f>
        <v>69680</v>
      </c>
      <c r="E80" s="15" t="s">
        <v>15</v>
      </c>
      <c r="F80" s="29" t="s">
        <v>4</v>
      </c>
      <c r="G80" s="16">
        <f>H3</f>
        <v>1340</v>
      </c>
      <c r="H80" s="17">
        <f>ROUNDUP(G80*51,-1)</f>
        <v>68340</v>
      </c>
    </row>
    <row r="81" spans="1:10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0" s="3" customFormat="1" ht="18" customHeight="1">
      <c r="A82" s="19"/>
      <c r="B82" s="30" t="s">
        <v>35</v>
      </c>
      <c r="C82" s="37"/>
      <c r="D82" s="49">
        <v>490</v>
      </c>
      <c r="E82" s="19"/>
      <c r="F82" s="30" t="s">
        <v>35</v>
      </c>
      <c r="G82" s="37"/>
      <c r="H82" s="49">
        <v>8000</v>
      </c>
    </row>
    <row r="83" spans="1:10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0" s="3" customFormat="1" ht="18" customHeight="1">
      <c r="A84" s="19"/>
      <c r="B84" s="30" t="s">
        <v>98</v>
      </c>
      <c r="C84" s="18">
        <f>H6</f>
        <v>960</v>
      </c>
      <c r="D84" s="17">
        <f>ROUND(C84*52,-1)</f>
        <v>49920</v>
      </c>
      <c r="E84" s="19"/>
      <c r="F84" s="30" t="s">
        <v>98</v>
      </c>
      <c r="G84" s="18">
        <f>H6</f>
        <v>960</v>
      </c>
      <c r="H84" s="17">
        <f>ROUND(G84*51,-1)</f>
        <v>48960</v>
      </c>
    </row>
    <row r="85" spans="1:10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10" s="3" customFormat="1" ht="18" customHeight="1">
      <c r="A86" s="20"/>
      <c r="B86" s="38"/>
      <c r="C86" s="39"/>
      <c r="D86" s="21">
        <f>SUM(D80:D85)</f>
        <v>254250</v>
      </c>
      <c r="E86" s="20"/>
      <c r="F86" s="38" t="s">
        <v>5</v>
      </c>
      <c r="G86" s="39"/>
      <c r="H86" s="21">
        <f>SUM(H80:H85)</f>
        <v>256880</v>
      </c>
    </row>
    <row r="87" spans="1:10" s="3" customFormat="1" ht="18" customHeight="1">
      <c r="A87" s="15" t="s">
        <v>44</v>
      </c>
      <c r="B87" s="29" t="s">
        <v>4</v>
      </c>
      <c r="C87" s="16">
        <f>H3</f>
        <v>1340</v>
      </c>
      <c r="D87" s="17">
        <f>ROUNDUP(C87*49,-1)</f>
        <v>65660</v>
      </c>
      <c r="E87" s="15" t="s">
        <v>45</v>
      </c>
      <c r="F87" s="30" t="s">
        <v>157</v>
      </c>
      <c r="G87" s="16">
        <v>10000</v>
      </c>
      <c r="H87" s="17">
        <f>G87</f>
        <v>10000</v>
      </c>
      <c r="J87" s="3" t="s">
        <v>179</v>
      </c>
    </row>
    <row r="88" spans="1:10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176</v>
      </c>
      <c r="G88" s="18">
        <v>330000</v>
      </c>
      <c r="H88" s="17">
        <f t="shared" ref="H88:H92" si="0">G88</f>
        <v>330000</v>
      </c>
    </row>
    <row r="89" spans="1:10" s="3" customFormat="1" ht="18" customHeight="1">
      <c r="A89" s="19"/>
      <c r="B89" s="30" t="s">
        <v>35</v>
      </c>
      <c r="C89" s="37"/>
      <c r="D89" s="49">
        <v>12000</v>
      </c>
      <c r="E89" s="19"/>
      <c r="F89" s="30" t="s">
        <v>177</v>
      </c>
      <c r="G89" s="13"/>
      <c r="H89" s="17">
        <f t="shared" si="0"/>
        <v>0</v>
      </c>
    </row>
    <row r="90" spans="1:10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178</v>
      </c>
      <c r="G90" s="18"/>
      <c r="H90" s="17">
        <f t="shared" si="0"/>
        <v>0</v>
      </c>
    </row>
    <row r="91" spans="1:10" s="3" customFormat="1" ht="18" customHeight="1">
      <c r="A91" s="19"/>
      <c r="B91" s="30" t="s">
        <v>98</v>
      </c>
      <c r="C91" s="18">
        <f>H6</f>
        <v>960</v>
      </c>
      <c r="D91" s="17">
        <f>ROUND(C91*47,-1)</f>
        <v>45120</v>
      </c>
      <c r="E91" s="19"/>
      <c r="F91" s="30"/>
      <c r="G91" s="18"/>
      <c r="H91" s="17">
        <f t="shared" si="0"/>
        <v>0</v>
      </c>
    </row>
    <row r="92" spans="1:10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17">
        <f t="shared" si="0"/>
        <v>0</v>
      </c>
    </row>
    <row r="93" spans="1:10" s="3" customFormat="1" ht="18" customHeight="1">
      <c r="A93" s="20"/>
      <c r="B93" s="38" t="s">
        <v>5</v>
      </c>
      <c r="C93" s="39"/>
      <c r="D93" s="21">
        <f>SUM(D87:D92)</f>
        <v>245760</v>
      </c>
      <c r="E93" s="20"/>
      <c r="F93" s="38" t="s">
        <v>5</v>
      </c>
      <c r="G93" s="39"/>
      <c r="H93" s="21">
        <f>SUM(H87:H90)</f>
        <v>340000</v>
      </c>
    </row>
    <row r="94" spans="1:10" s="3" customFormat="1" ht="17.100000000000001" customHeight="1">
      <c r="E94" s="1"/>
    </row>
    <row r="95" spans="1:10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10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1D41E-16B6-4243-B6DD-81DB80383441}">
  <dimension ref="A1:P150"/>
  <sheetViews>
    <sheetView zoomScaleNormal="100" workbookViewId="0">
      <selection activeCell="D24" sqref="D24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6" ht="39.950000000000003" customHeight="1">
      <c r="A1" s="96" t="s">
        <v>218</v>
      </c>
      <c r="B1" s="96"/>
      <c r="C1" s="96"/>
      <c r="D1" s="96"/>
      <c r="E1" s="96"/>
      <c r="F1" s="96"/>
      <c r="G1" s="96"/>
      <c r="H1" s="96"/>
    </row>
    <row r="2" spans="1:16" ht="17.100000000000001" customHeight="1">
      <c r="A2" s="97" t="s">
        <v>51</v>
      </c>
      <c r="B2" s="98"/>
      <c r="C2" s="98"/>
      <c r="D2" s="99"/>
      <c r="E2" s="100" t="s">
        <v>219</v>
      </c>
      <c r="F2" s="100"/>
      <c r="G2" s="100"/>
      <c r="H2" s="100"/>
    </row>
    <row r="3" spans="1:16" ht="17.100000000000001" customHeight="1">
      <c r="A3" s="84" t="s">
        <v>142</v>
      </c>
      <c r="B3" s="84"/>
      <c r="C3" s="84"/>
      <c r="D3" s="48">
        <v>664323</v>
      </c>
      <c r="E3" s="95" t="s">
        <v>52</v>
      </c>
      <c r="F3" s="95"/>
      <c r="G3" s="95"/>
      <c r="H3" s="32">
        <f>ROUNDUP((D7/605)*110%,-1)</f>
        <v>1380</v>
      </c>
    </row>
    <row r="4" spans="1:16" ht="17.100000000000001" customHeight="1">
      <c r="A4" s="84" t="s">
        <v>21</v>
      </c>
      <c r="B4" s="84"/>
      <c r="C4" s="84"/>
      <c r="D4" s="26">
        <f>SUM(D3:D3)</f>
        <v>664323</v>
      </c>
      <c r="E4" s="95" t="s">
        <v>53</v>
      </c>
      <c r="F4" s="95"/>
      <c r="G4" s="95"/>
      <c r="H4" s="33">
        <f>ROUNDUP((SUM(D8:D10)/605)*110%,-1)</f>
        <v>860</v>
      </c>
    </row>
    <row r="5" spans="1:16" ht="17.100000000000001" customHeight="1">
      <c r="A5" s="84" t="s">
        <v>0</v>
      </c>
      <c r="B5" s="84"/>
      <c r="C5" s="84"/>
      <c r="D5" s="26">
        <f>D4*0.1</f>
        <v>66432.3</v>
      </c>
      <c r="E5" s="95" t="s">
        <v>54</v>
      </c>
      <c r="F5" s="95"/>
      <c r="G5" s="95"/>
      <c r="H5" s="33">
        <f>ROUNDUP((D14/619)*110%,-1)</f>
        <v>720</v>
      </c>
    </row>
    <row r="6" spans="1:16" ht="17.100000000000001" customHeight="1">
      <c r="A6" s="84" t="s">
        <v>1</v>
      </c>
      <c r="B6" s="84"/>
      <c r="C6" s="84"/>
      <c r="D6" s="48">
        <v>24570</v>
      </c>
      <c r="E6" s="95" t="s">
        <v>99</v>
      </c>
      <c r="F6" s="95"/>
      <c r="G6" s="95"/>
      <c r="H6" s="33">
        <f>ROUNDUP((D12/619)*110%,-1)</f>
        <v>1200</v>
      </c>
    </row>
    <row r="7" spans="1:16" ht="17.100000000000001" customHeight="1">
      <c r="A7" s="94" t="s">
        <v>32</v>
      </c>
      <c r="B7" s="94"/>
      <c r="C7" s="94"/>
      <c r="D7" s="28">
        <f>SUM(D4:D6)</f>
        <v>755325.3</v>
      </c>
      <c r="E7" s="95" t="s">
        <v>101</v>
      </c>
      <c r="F7" s="95"/>
      <c r="G7" s="95"/>
      <c r="H7" s="33">
        <v>700</v>
      </c>
    </row>
    <row r="8" spans="1:16" ht="17.100000000000001" customHeight="1">
      <c r="A8" s="84" t="s">
        <v>6</v>
      </c>
      <c r="B8" s="84"/>
      <c r="C8" s="84"/>
      <c r="D8" s="27">
        <f>기초자료!B2</f>
        <v>88000</v>
      </c>
      <c r="E8" s="84" t="s">
        <v>55</v>
      </c>
      <c r="F8" s="84"/>
      <c r="G8" s="84"/>
      <c r="H8" s="84"/>
    </row>
    <row r="9" spans="1:16" ht="17.100000000000001" customHeight="1">
      <c r="A9" s="84" t="s">
        <v>144</v>
      </c>
      <c r="B9" s="84"/>
      <c r="C9" s="84"/>
      <c r="D9" s="27">
        <f>기초자료!B3</f>
        <v>130000</v>
      </c>
      <c r="E9" s="85" t="s">
        <v>220</v>
      </c>
      <c r="F9" s="86"/>
      <c r="G9" s="86"/>
      <c r="H9" s="87"/>
    </row>
    <row r="10" spans="1:16" ht="17.100000000000001" customHeight="1">
      <c r="A10" s="84" t="s">
        <v>145</v>
      </c>
      <c r="B10" s="84"/>
      <c r="C10" s="84"/>
      <c r="D10" s="27">
        <f>기초자료!B4</f>
        <v>255000</v>
      </c>
      <c r="E10" s="88"/>
      <c r="F10" s="89"/>
      <c r="G10" s="89"/>
      <c r="H10" s="90"/>
      <c r="P10" s="68"/>
    </row>
    <row r="11" spans="1:16" ht="17.100000000000001" customHeight="1">
      <c r="A11" s="94" t="s">
        <v>33</v>
      </c>
      <c r="B11" s="94"/>
      <c r="C11" s="94"/>
      <c r="D11" s="28">
        <f>SUM(D8:D10)</f>
        <v>473000</v>
      </c>
      <c r="E11" s="88"/>
      <c r="F11" s="89"/>
      <c r="G11" s="89"/>
      <c r="H11" s="90"/>
      <c r="P11" s="68"/>
    </row>
    <row r="12" spans="1:16" ht="17.100000000000001" customHeight="1">
      <c r="A12" s="84" t="s">
        <v>97</v>
      </c>
      <c r="B12" s="84"/>
      <c r="C12" s="84"/>
      <c r="D12" s="70">
        <f>H93+200000</f>
        <v>674500</v>
      </c>
      <c r="E12" s="88"/>
      <c r="F12" s="89"/>
      <c r="G12" s="89"/>
      <c r="H12" s="90"/>
      <c r="P12" s="68"/>
    </row>
    <row r="13" spans="1:16" ht="17.100000000000001" customHeight="1">
      <c r="A13" s="84" t="s">
        <v>146</v>
      </c>
      <c r="B13" s="84"/>
      <c r="C13" s="84"/>
      <c r="D13" s="67">
        <v>131800</v>
      </c>
      <c r="E13" s="88"/>
      <c r="F13" s="89"/>
      <c r="G13" s="89"/>
      <c r="H13" s="90"/>
      <c r="J13" s="41"/>
    </row>
    <row r="14" spans="1:16" ht="17.100000000000001" customHeight="1">
      <c r="A14" s="84" t="s">
        <v>147</v>
      </c>
      <c r="B14" s="84"/>
      <c r="C14" s="84"/>
      <c r="D14" s="27">
        <v>400000</v>
      </c>
      <c r="E14" s="88"/>
      <c r="F14" s="89"/>
      <c r="G14" s="89"/>
      <c r="H14" s="90"/>
      <c r="J14" s="41"/>
    </row>
    <row r="15" spans="1:16" ht="17.100000000000001" customHeight="1">
      <c r="A15" s="84"/>
      <c r="B15" s="84"/>
      <c r="C15" s="84"/>
      <c r="D15" s="27"/>
      <c r="E15" s="88"/>
      <c r="F15" s="89"/>
      <c r="G15" s="89"/>
      <c r="H15" s="90"/>
    </row>
    <row r="16" spans="1:16" ht="17.100000000000001" customHeight="1">
      <c r="A16" s="84"/>
      <c r="B16" s="84"/>
      <c r="C16" s="84"/>
      <c r="D16" s="27"/>
      <c r="E16" s="88"/>
      <c r="F16" s="89"/>
      <c r="G16" s="89"/>
      <c r="H16" s="90"/>
    </row>
    <row r="17" spans="1:15" ht="17.100000000000001" customHeight="1">
      <c r="A17" s="84"/>
      <c r="B17" s="84"/>
      <c r="C17" s="84"/>
      <c r="D17" s="27"/>
      <c r="E17" s="88"/>
      <c r="F17" s="89"/>
      <c r="G17" s="89"/>
      <c r="H17" s="90"/>
    </row>
    <row r="18" spans="1:15" s="25" customFormat="1" ht="20.100000000000001" customHeight="1">
      <c r="A18" s="83" t="s">
        <v>8</v>
      </c>
      <c r="B18" s="83"/>
      <c r="C18" s="83"/>
      <c r="D18" s="34">
        <f>SUM(D12:D17)+D7+D11+J22</f>
        <v>2857475.3</v>
      </c>
      <c r="E18" s="91"/>
      <c r="F18" s="92"/>
      <c r="G18" s="92"/>
      <c r="H18" s="93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81" t="s">
        <v>46</v>
      </c>
      <c r="B20" s="81"/>
      <c r="C20" s="81"/>
      <c r="D20" s="81"/>
      <c r="E20" s="81"/>
      <c r="F20" s="81"/>
      <c r="G20" s="81"/>
      <c r="H20" s="81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3530780</v>
      </c>
      <c r="L21" s="5"/>
      <c r="N21" s="5">
        <f>D24+H24+D31+H31+D38+H38+D45+D55+H55+D65+H65+D72+D82+H82+D89</f>
        <v>116000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1380</v>
      </c>
      <c r="D22" s="17">
        <f>ROUNDUP(C22*22.86,-1)</f>
        <v>31550</v>
      </c>
      <c r="E22" s="15" t="s">
        <v>13</v>
      </c>
      <c r="F22" s="29" t="s">
        <v>4</v>
      </c>
      <c r="G22" s="16">
        <f>H3</f>
        <v>1380</v>
      </c>
      <c r="H22" s="22">
        <f>ROUNDUP(G22*24,-1)</f>
        <v>33120</v>
      </c>
      <c r="J22" s="5">
        <f>D27+H27+D34+H34+D41+H41+D48+D58+H58+D68+H68+D75+D85+H85+D92</f>
        <v>422850</v>
      </c>
      <c r="N22" s="5">
        <f>D27+H27+D34+H34+D41+H41+D48+D58+H58+D68+H68+D75+D85+H85+D92</f>
        <v>422850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14000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1200</v>
      </c>
      <c r="D26" s="17">
        <f>ROUND(C26*22.86,-1)</f>
        <v>27430</v>
      </c>
      <c r="E26" s="19"/>
      <c r="F26" s="30" t="s">
        <v>98</v>
      </c>
      <c r="G26" s="18">
        <f>H6</f>
        <v>1200</v>
      </c>
      <c r="H26" s="17">
        <f>ROUND(G26*24,-1)</f>
        <v>28800</v>
      </c>
      <c r="J26" s="5"/>
    </row>
    <row r="27" spans="1:15" ht="18" customHeight="1">
      <c r="A27" s="19"/>
      <c r="B27" s="30" t="s">
        <v>100</v>
      </c>
      <c r="C27" s="18">
        <f>H7</f>
        <v>700</v>
      </c>
      <c r="D27" s="17">
        <f>ROUND(C27*22.86,-1)</f>
        <v>16000</v>
      </c>
      <c r="E27" s="19"/>
      <c r="F27" s="30" t="s">
        <v>100</v>
      </c>
      <c r="G27" s="18">
        <f>H7</f>
        <v>700</v>
      </c>
      <c r="H27" s="17">
        <f>ROUND(G27*24,-1)</f>
        <v>16800</v>
      </c>
    </row>
    <row r="28" spans="1:15" ht="18" customHeight="1">
      <c r="A28" s="20"/>
      <c r="B28" s="38" t="s">
        <v>5</v>
      </c>
      <c r="C28" s="39"/>
      <c r="D28" s="21">
        <f>SUM(D22:D27)</f>
        <v>111100</v>
      </c>
      <c r="E28" s="20"/>
      <c r="F28" s="38" t="s">
        <v>5</v>
      </c>
      <c r="G28" s="39"/>
      <c r="H28" s="21">
        <f>SUM(H22:H27)</f>
        <v>130640</v>
      </c>
    </row>
    <row r="29" spans="1:15" ht="18" customHeight="1">
      <c r="A29" s="15" t="s">
        <v>23</v>
      </c>
      <c r="B29" s="29" t="s">
        <v>4</v>
      </c>
      <c r="C29" s="16">
        <f>H3</f>
        <v>1380</v>
      </c>
      <c r="D29" s="17">
        <f>ROUNDUP(C29*24,-1)</f>
        <v>33120</v>
      </c>
      <c r="E29" s="15" t="s">
        <v>34</v>
      </c>
      <c r="F29" s="29" t="s">
        <v>4</v>
      </c>
      <c r="G29" s="16">
        <f>H3</f>
        <v>1380</v>
      </c>
      <c r="H29" s="17">
        <f>ROUNDUP(G29*22.86,-1)</f>
        <v>31550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1200</v>
      </c>
      <c r="D33" s="17">
        <f>ROUND(C33*24,-1)</f>
        <v>28800</v>
      </c>
      <c r="E33" s="19"/>
      <c r="F33" s="30" t="s">
        <v>98</v>
      </c>
      <c r="G33" s="18">
        <f>H6</f>
        <v>1200</v>
      </c>
      <c r="H33" s="17">
        <f>ROUND(G33*22.86,-1)</f>
        <v>27430</v>
      </c>
    </row>
    <row r="34" spans="1:8" ht="18" customHeight="1">
      <c r="A34" s="19"/>
      <c r="B34" s="30" t="s">
        <v>100</v>
      </c>
      <c r="C34" s="18">
        <f>H7</f>
        <v>700</v>
      </c>
      <c r="D34" s="17">
        <f>ROUND(C34*24,-1)</f>
        <v>16800</v>
      </c>
      <c r="E34" s="19"/>
      <c r="F34" s="30" t="s">
        <v>100</v>
      </c>
      <c r="G34" s="18">
        <f>H7</f>
        <v>700</v>
      </c>
      <c r="H34" s="17">
        <f>ROUND(G34*22.86,-1)</f>
        <v>16000</v>
      </c>
    </row>
    <row r="35" spans="1:8" ht="18" customHeight="1">
      <c r="A35" s="20"/>
      <c r="B35" s="38" t="s">
        <v>5</v>
      </c>
      <c r="C35" s="39"/>
      <c r="D35" s="21">
        <f>SUM(D29:D34)</f>
        <v>120640</v>
      </c>
      <c r="E35" s="20"/>
      <c r="F35" s="38" t="s">
        <v>5</v>
      </c>
      <c r="G35" s="39"/>
      <c r="H35" s="21">
        <f>SUM(H29:H34)</f>
        <v>126100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1380</v>
      </c>
      <c r="D36" s="17">
        <f>ROUNDUP(C36*14.35,-1)</f>
        <v>19810</v>
      </c>
      <c r="E36" s="15" t="s">
        <v>102</v>
      </c>
      <c r="F36" s="29" t="s">
        <v>4</v>
      </c>
      <c r="G36" s="16">
        <f>H3</f>
        <v>1380</v>
      </c>
      <c r="H36" s="17">
        <f>ROUNDUP(G36*14,-1)</f>
        <v>19320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1200</v>
      </c>
      <c r="D40" s="17">
        <f>ROUND(C40*14.35,-1)</f>
        <v>17220</v>
      </c>
      <c r="E40" s="19"/>
      <c r="F40" s="30" t="s">
        <v>98</v>
      </c>
      <c r="G40" s="18">
        <f>H6</f>
        <v>1200</v>
      </c>
      <c r="H40" s="17">
        <f>ROUND(G40*14,-1)</f>
        <v>16800</v>
      </c>
    </row>
    <row r="41" spans="1:8" s="3" customFormat="1" ht="18" customHeight="1">
      <c r="A41" s="19"/>
      <c r="B41" s="30" t="s">
        <v>100</v>
      </c>
      <c r="C41" s="18">
        <f>H7</f>
        <v>700</v>
      </c>
      <c r="D41" s="17">
        <f>ROUND(C41*14.35,-1)</f>
        <v>10050</v>
      </c>
      <c r="E41" s="19"/>
      <c r="F41" s="30" t="s">
        <v>100</v>
      </c>
      <c r="G41" s="18">
        <f>H7</f>
        <v>700</v>
      </c>
      <c r="H41" s="17">
        <f>ROUND(G41*14,-1)</f>
        <v>9800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73760</v>
      </c>
      <c r="E42" s="20"/>
      <c r="F42" s="38" t="s">
        <v>5</v>
      </c>
      <c r="G42" s="39"/>
      <c r="H42" s="21">
        <f>SUM(H36:H41)</f>
        <v>68040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1380</v>
      </c>
      <c r="D43" s="17">
        <f>ROUNDUP(C43*24,-1)</f>
        <v>33120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14000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1200</v>
      </c>
      <c r="D47" s="17">
        <f>ROUND(C47*24,-1)</f>
        <v>28800</v>
      </c>
      <c r="E47" s="1"/>
    </row>
    <row r="48" spans="1:8" s="3" customFormat="1" ht="18" customHeight="1">
      <c r="A48" s="19"/>
      <c r="B48" s="30" t="s">
        <v>100</v>
      </c>
      <c r="C48" s="18">
        <f>H7</f>
        <v>700</v>
      </c>
      <c r="D48" s="17">
        <f>ROUND(C48*24,-1)</f>
        <v>16800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130640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81" t="s">
        <v>47</v>
      </c>
      <c r="B51" s="81"/>
      <c r="C51" s="81"/>
      <c r="D51" s="81"/>
      <c r="E51" s="81"/>
      <c r="F51" s="81"/>
      <c r="G51" s="81"/>
      <c r="H51" s="81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1380</v>
      </c>
      <c r="D53" s="17">
        <f>ROUNDUP(C53*99,-1)</f>
        <v>136620</v>
      </c>
      <c r="E53" s="15" t="s">
        <v>36</v>
      </c>
      <c r="F53" s="29" t="s">
        <v>4</v>
      </c>
      <c r="G53" s="16">
        <f>H3</f>
        <v>1380</v>
      </c>
      <c r="H53" s="17">
        <f>ROUNDUP(G53*59,-1)</f>
        <v>81420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17000</v>
      </c>
      <c r="E55" s="19"/>
      <c r="F55" s="30" t="s">
        <v>35</v>
      </c>
      <c r="G55" s="37"/>
      <c r="H55" s="49">
        <v>10000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1200</v>
      </c>
      <c r="D57" s="17">
        <f>ROUND(C57*99,-1)</f>
        <v>118800</v>
      </c>
      <c r="E57" s="19"/>
      <c r="F57" s="30" t="s">
        <v>98</v>
      </c>
      <c r="G57" s="18">
        <f>H6</f>
        <v>1200</v>
      </c>
      <c r="H57" s="17">
        <f>ROUND(G57*59,-1)</f>
        <v>70800</v>
      </c>
    </row>
    <row r="58" spans="1:8" s="3" customFormat="1" ht="18" customHeight="1">
      <c r="A58" s="19"/>
      <c r="B58" s="30" t="s">
        <v>100</v>
      </c>
      <c r="C58" s="18">
        <f>H7</f>
        <v>700</v>
      </c>
      <c r="D58" s="17">
        <f>ROUND(C58*99,-1)</f>
        <v>69300</v>
      </c>
      <c r="E58" s="19"/>
      <c r="F58" s="30" t="s">
        <v>100</v>
      </c>
      <c r="G58" s="18">
        <f>H7</f>
        <v>700</v>
      </c>
      <c r="H58" s="17">
        <f>ROUND(G58*59,-1)</f>
        <v>41300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498140</v>
      </c>
      <c r="E59" s="20"/>
      <c r="F59" s="38" t="s">
        <v>5</v>
      </c>
      <c r="G59" s="39"/>
      <c r="H59" s="21">
        <f>SUM(H53:H58)</f>
        <v>296740</v>
      </c>
    </row>
    <row r="60" spans="1:8" s="3" customFormat="1" ht="18" customHeight="1">
      <c r="E60" s="1"/>
    </row>
    <row r="61" spans="1:8" s="3" customFormat="1" ht="18" customHeight="1">
      <c r="A61" s="81" t="s">
        <v>48</v>
      </c>
      <c r="B61" s="81"/>
      <c r="C61" s="81"/>
      <c r="D61" s="81"/>
      <c r="E61" s="81"/>
      <c r="F61" s="81"/>
      <c r="G61" s="81"/>
      <c r="H61" s="81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1380</v>
      </c>
      <c r="D63" s="17">
        <f>ROUNDUP(C63*52,-1)</f>
        <v>71760</v>
      </c>
      <c r="E63" s="15" t="s">
        <v>40</v>
      </c>
      <c r="F63" s="29" t="s">
        <v>4</v>
      </c>
      <c r="G63" s="16">
        <f>H3</f>
        <v>1380</v>
      </c>
      <c r="H63" s="17">
        <f>ROUNDUP(G63*51,-1)</f>
        <v>70380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7000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1200</v>
      </c>
      <c r="D67" s="17">
        <f>ROUND(C67*52,-1)</f>
        <v>62400</v>
      </c>
      <c r="E67" s="19"/>
      <c r="F67" s="30" t="s">
        <v>98</v>
      </c>
      <c r="G67" s="18">
        <f>H6</f>
        <v>1200</v>
      </c>
      <c r="H67" s="17">
        <f>ROUND(G67*51,-1)</f>
        <v>61200</v>
      </c>
    </row>
    <row r="68" spans="1:8" s="3" customFormat="1" ht="18" customHeight="1">
      <c r="A68" s="19"/>
      <c r="B68" s="30" t="s">
        <v>100</v>
      </c>
      <c r="C68" s="18">
        <f>H7</f>
        <v>700</v>
      </c>
      <c r="D68" s="17">
        <f>ROUND(C68*52,-1)</f>
        <v>36400</v>
      </c>
      <c r="E68" s="19"/>
      <c r="F68" s="30" t="s">
        <v>100</v>
      </c>
      <c r="G68" s="18">
        <f>H7</f>
        <v>700</v>
      </c>
      <c r="H68" s="17">
        <f>ROUND(G68*51,-1)</f>
        <v>35700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258720</v>
      </c>
      <c r="E69" s="20"/>
      <c r="F69" s="38" t="s">
        <v>5</v>
      </c>
      <c r="G69" s="39"/>
      <c r="H69" s="21">
        <f>SUM(H63:H68)</f>
        <v>254860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1380</v>
      </c>
      <c r="D70" s="17">
        <f>ROUNDUP(C70*47,-1)</f>
        <v>64860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1200</v>
      </c>
      <c r="D74" s="17">
        <f>ROUND(C74*47,-1)</f>
        <v>56400</v>
      </c>
      <c r="E74" s="1"/>
    </row>
    <row r="75" spans="1:8" s="3" customFormat="1" ht="18" customHeight="1">
      <c r="A75" s="19"/>
      <c r="B75" s="30" t="s">
        <v>100</v>
      </c>
      <c r="C75" s="18">
        <f>H7</f>
        <v>700</v>
      </c>
      <c r="D75" s="17">
        <f>ROUND(C75*47,-1)</f>
        <v>32900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228420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81" t="s">
        <v>49</v>
      </c>
      <c r="B78" s="81"/>
      <c r="C78" s="81"/>
      <c r="D78" s="81"/>
      <c r="E78" s="81"/>
      <c r="F78" s="81"/>
      <c r="G78" s="81"/>
      <c r="H78" s="81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1380</v>
      </c>
      <c r="D80" s="17">
        <f>ROUNDUP(C80*52,-1)</f>
        <v>71760</v>
      </c>
      <c r="E80" s="15" t="s">
        <v>15</v>
      </c>
      <c r="F80" s="29" t="s">
        <v>4</v>
      </c>
      <c r="G80" s="16">
        <f>H3</f>
        <v>1380</v>
      </c>
      <c r="H80" s="17">
        <f>ROUNDUP(G80*51,-1)</f>
        <v>70380</v>
      </c>
    </row>
    <row r="81" spans="1:12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2" s="3" customFormat="1" ht="18" customHeight="1">
      <c r="A82" s="19"/>
      <c r="B82" s="30" t="s">
        <v>35</v>
      </c>
      <c r="C82" s="37"/>
      <c r="D82" s="49">
        <v>2000</v>
      </c>
      <c r="E82" s="19"/>
      <c r="F82" s="30" t="s">
        <v>35</v>
      </c>
      <c r="G82" s="37"/>
      <c r="H82" s="49">
        <v>8000</v>
      </c>
    </row>
    <row r="83" spans="1:12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2" s="3" customFormat="1" ht="18" customHeight="1">
      <c r="A84" s="19"/>
      <c r="B84" s="30" t="s">
        <v>98</v>
      </c>
      <c r="C84" s="18">
        <f>H6</f>
        <v>1200</v>
      </c>
      <c r="D84" s="17">
        <f>ROUND(C84*52,-1)</f>
        <v>62400</v>
      </c>
      <c r="E84" s="19"/>
      <c r="F84" s="30" t="s">
        <v>98</v>
      </c>
      <c r="G84" s="18">
        <f>H6</f>
        <v>1200</v>
      </c>
      <c r="H84" s="17">
        <f>ROUND(G84*51,-1)</f>
        <v>61200</v>
      </c>
    </row>
    <row r="85" spans="1:12" s="3" customFormat="1" ht="18" customHeight="1">
      <c r="A85" s="19"/>
      <c r="B85" s="30" t="s">
        <v>100</v>
      </c>
      <c r="C85" s="18">
        <f>H7</f>
        <v>700</v>
      </c>
      <c r="D85" s="17">
        <f>ROUND(C85*52,-1)</f>
        <v>36400</v>
      </c>
      <c r="E85" s="19"/>
      <c r="F85" s="30" t="s">
        <v>100</v>
      </c>
      <c r="G85" s="18">
        <f>H7</f>
        <v>700</v>
      </c>
      <c r="H85" s="17">
        <f>ROUND(G85*51,-1)</f>
        <v>35700</v>
      </c>
    </row>
    <row r="86" spans="1:12" s="3" customFormat="1" ht="18" customHeight="1">
      <c r="A86" s="20"/>
      <c r="B86" s="38"/>
      <c r="C86" s="39"/>
      <c r="D86" s="21">
        <f>SUM(D80:D85)</f>
        <v>254720</v>
      </c>
      <c r="E86" s="20"/>
      <c r="F86" s="38" t="s">
        <v>5</v>
      </c>
      <c r="G86" s="39"/>
      <c r="H86" s="21">
        <f>SUM(H80:H85)</f>
        <v>255860</v>
      </c>
    </row>
    <row r="87" spans="1:12" s="3" customFormat="1" ht="18" customHeight="1">
      <c r="A87" s="15" t="s">
        <v>44</v>
      </c>
      <c r="B87" s="29" t="s">
        <v>4</v>
      </c>
      <c r="C87" s="16">
        <f>H3</f>
        <v>1380</v>
      </c>
      <c r="D87" s="17">
        <f>ROUNDUP(C87*49,-1)</f>
        <v>67620</v>
      </c>
      <c r="E87" s="15" t="s">
        <v>45</v>
      </c>
      <c r="F87" s="29" t="s">
        <v>169</v>
      </c>
      <c r="G87" s="16">
        <v>10000</v>
      </c>
      <c r="H87" s="17">
        <f>G87</f>
        <v>10000</v>
      </c>
    </row>
    <row r="88" spans="1:12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180</v>
      </c>
      <c r="G88" s="18">
        <v>440000</v>
      </c>
      <c r="H88" s="17">
        <f t="shared" ref="H88:H92" si="0">G88</f>
        <v>440000</v>
      </c>
    </row>
    <row r="89" spans="1:12" s="3" customFormat="1" ht="18" customHeight="1">
      <c r="A89" s="19"/>
      <c r="B89" s="30" t="s">
        <v>35</v>
      </c>
      <c r="C89" s="37"/>
      <c r="D89" s="49">
        <v>15000</v>
      </c>
      <c r="E89" s="19"/>
      <c r="F89" s="30" t="s">
        <v>181</v>
      </c>
      <c r="G89" s="13">
        <v>24500</v>
      </c>
      <c r="H89" s="17">
        <f t="shared" si="0"/>
        <v>24500</v>
      </c>
    </row>
    <row r="90" spans="1:12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>
        <f t="shared" si="0"/>
        <v>0</v>
      </c>
      <c r="L90" s="3">
        <v>213400</v>
      </c>
    </row>
    <row r="91" spans="1:12" s="3" customFormat="1" ht="18" customHeight="1">
      <c r="A91" s="19"/>
      <c r="B91" s="30" t="s">
        <v>98</v>
      </c>
      <c r="C91" s="18">
        <f>H6</f>
        <v>1200</v>
      </c>
      <c r="D91" s="17">
        <f>ROUND(C91*47,-1)</f>
        <v>56400</v>
      </c>
      <c r="E91" s="19"/>
      <c r="F91" s="30"/>
      <c r="G91" s="18"/>
      <c r="H91" s="17">
        <f t="shared" si="0"/>
        <v>0</v>
      </c>
      <c r="L91" s="3">
        <v>550000</v>
      </c>
    </row>
    <row r="92" spans="1:12" s="3" customFormat="1" ht="18" customHeight="1">
      <c r="A92" s="19"/>
      <c r="B92" s="30" t="s">
        <v>100</v>
      </c>
      <c r="C92" s="18">
        <f>H7</f>
        <v>700</v>
      </c>
      <c r="D92" s="17">
        <f>ROUND(C92*47,-1)</f>
        <v>32900</v>
      </c>
      <c r="E92" s="19"/>
      <c r="F92" s="40"/>
      <c r="G92" s="40"/>
      <c r="H92" s="17">
        <f t="shared" si="0"/>
        <v>0</v>
      </c>
      <c r="L92" s="3">
        <f>SUM(L90:L91)</f>
        <v>763400</v>
      </c>
    </row>
    <row r="93" spans="1:12" s="3" customFormat="1" ht="18" customHeight="1">
      <c r="A93" s="20"/>
      <c r="B93" s="38" t="s">
        <v>5</v>
      </c>
      <c r="C93" s="39"/>
      <c r="D93" s="21">
        <f>SUM(D87:D92)</f>
        <v>247900</v>
      </c>
      <c r="E93" s="20"/>
      <c r="F93" s="38" t="s">
        <v>5</v>
      </c>
      <c r="G93" s="39"/>
      <c r="H93" s="21">
        <f>SUM(H87:H90)</f>
        <v>474500</v>
      </c>
    </row>
    <row r="94" spans="1:12" s="3" customFormat="1" ht="17.100000000000001" customHeight="1">
      <c r="E94" s="1"/>
    </row>
    <row r="95" spans="1:12" s="35" customFormat="1" ht="35.1" customHeight="1">
      <c r="A95" s="82" t="s">
        <v>56</v>
      </c>
      <c r="B95" s="82"/>
      <c r="C95" s="82"/>
      <c r="D95" s="82"/>
      <c r="E95" s="82"/>
      <c r="F95" s="82"/>
      <c r="G95" s="82"/>
      <c r="H95" s="82"/>
    </row>
    <row r="96" spans="1:12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1"/>
  <sheetViews>
    <sheetView workbookViewId="0">
      <selection activeCell="Q69" sqref="Q69"/>
    </sheetView>
  </sheetViews>
  <sheetFormatPr defaultRowHeight="16.5"/>
  <cols>
    <col min="1" max="1" width="10.77734375" style="1" customWidth="1"/>
    <col min="2" max="2" width="13.77734375" style="1" bestFit="1" customWidth="1"/>
    <col min="3" max="3" width="7.77734375" style="1" customWidth="1"/>
    <col min="4" max="4" width="9.77734375" style="2" customWidth="1"/>
    <col min="5" max="5" width="11.77734375" style="1" customWidth="1"/>
    <col min="6" max="6" width="13.77734375" style="1" customWidth="1"/>
    <col min="7" max="7" width="7.77734375" style="1" customWidth="1"/>
    <col min="8" max="8" width="9.77734375" style="1" customWidth="1"/>
    <col min="9" max="9" width="10" style="1" bestFit="1" customWidth="1"/>
    <col min="10" max="10" width="9.5546875" style="1" bestFit="1" customWidth="1"/>
    <col min="11" max="11" width="8.88671875" style="1"/>
    <col min="12" max="12" width="9.5546875" style="1" bestFit="1" customWidth="1"/>
    <col min="13" max="16384" width="8.88671875" style="1"/>
  </cols>
  <sheetData>
    <row r="1" spans="1:10" ht="40.5" customHeight="1">
      <c r="A1" s="105" t="s">
        <v>90</v>
      </c>
      <c r="B1" s="105"/>
      <c r="C1" s="105"/>
      <c r="D1" s="105"/>
      <c r="E1" s="105"/>
      <c r="F1" s="105"/>
      <c r="G1" s="105"/>
      <c r="H1" s="105"/>
    </row>
    <row r="2" spans="1:10" ht="28.5" customHeight="1">
      <c r="D2" s="3"/>
    </row>
    <row r="3" spans="1:10" ht="20.100000000000001" customHeight="1">
      <c r="A3" s="97" t="s">
        <v>91</v>
      </c>
      <c r="B3" s="98"/>
      <c r="C3" s="98"/>
      <c r="D3" s="98"/>
      <c r="E3" s="98"/>
      <c r="F3" s="98"/>
      <c r="G3" s="98"/>
      <c r="H3" s="99"/>
    </row>
    <row r="4" spans="1:10" ht="17.100000000000001" customHeight="1">
      <c r="A4" s="104" t="s">
        <v>58</v>
      </c>
      <c r="B4" s="104"/>
      <c r="C4" s="104"/>
      <c r="D4" s="26">
        <v>0</v>
      </c>
      <c r="E4" s="104" t="s">
        <v>62</v>
      </c>
      <c r="F4" s="104"/>
      <c r="G4" s="104"/>
      <c r="H4" s="32">
        <f t="shared" ref="H4:H9" si="0">ROUNDUP(D4/605,-2)</f>
        <v>0</v>
      </c>
    </row>
    <row r="5" spans="1:10" ht="17.100000000000001" customHeight="1">
      <c r="A5" s="104" t="s">
        <v>59</v>
      </c>
      <c r="B5" s="104"/>
      <c r="C5" s="104"/>
      <c r="D5" s="26">
        <v>0</v>
      </c>
      <c r="E5" s="104" t="s">
        <v>63</v>
      </c>
      <c r="F5" s="104"/>
      <c r="G5" s="104"/>
      <c r="H5" s="32">
        <f t="shared" si="0"/>
        <v>0</v>
      </c>
    </row>
    <row r="6" spans="1:10" ht="17.100000000000001" customHeight="1">
      <c r="A6" s="104" t="s">
        <v>60</v>
      </c>
      <c r="B6" s="104"/>
      <c r="C6" s="104"/>
      <c r="D6" s="26">
        <v>0</v>
      </c>
      <c r="E6" s="104" t="s">
        <v>64</v>
      </c>
      <c r="F6" s="104"/>
      <c r="G6" s="104"/>
      <c r="H6" s="32">
        <f t="shared" si="0"/>
        <v>0</v>
      </c>
    </row>
    <row r="7" spans="1:10" ht="17.100000000000001" customHeight="1">
      <c r="A7" s="104" t="s">
        <v>61</v>
      </c>
      <c r="B7" s="104"/>
      <c r="C7" s="104"/>
      <c r="D7" s="26">
        <v>0</v>
      </c>
      <c r="E7" s="106" t="s">
        <v>65</v>
      </c>
      <c r="F7" s="107"/>
      <c r="G7" s="108"/>
      <c r="H7" s="32">
        <f t="shared" si="0"/>
        <v>0</v>
      </c>
    </row>
    <row r="8" spans="1:10" ht="17.100000000000001" customHeight="1">
      <c r="A8" s="84"/>
      <c r="B8" s="84"/>
      <c r="C8" s="84"/>
      <c r="D8" s="26"/>
      <c r="E8" s="106"/>
      <c r="F8" s="107"/>
      <c r="G8" s="108"/>
      <c r="H8" s="32">
        <f t="shared" si="0"/>
        <v>0</v>
      </c>
    </row>
    <row r="9" spans="1:10" ht="17.100000000000001" customHeight="1">
      <c r="A9" s="84"/>
      <c r="B9" s="84"/>
      <c r="C9" s="84"/>
      <c r="D9" s="26"/>
      <c r="E9" s="106"/>
      <c r="F9" s="107"/>
      <c r="G9" s="108"/>
      <c r="H9" s="32">
        <f t="shared" si="0"/>
        <v>0</v>
      </c>
    </row>
    <row r="10" spans="1:10" ht="17.100000000000001" customHeight="1">
      <c r="A10" s="84" t="s">
        <v>55</v>
      </c>
      <c r="B10" s="84"/>
      <c r="C10" s="84"/>
      <c r="D10" s="84"/>
      <c r="E10" s="84"/>
      <c r="F10" s="84"/>
      <c r="G10" s="84"/>
      <c r="H10" s="84"/>
    </row>
    <row r="11" spans="1:10" ht="30" customHeight="1">
      <c r="A11" s="84"/>
      <c r="B11" s="84"/>
      <c r="C11" s="84"/>
      <c r="D11" s="84"/>
      <c r="E11" s="84"/>
      <c r="F11" s="84"/>
      <c r="G11" s="84"/>
      <c r="H11" s="84"/>
    </row>
    <row r="12" spans="1:10" ht="30" customHeight="1">
      <c r="A12" s="84"/>
      <c r="B12" s="84"/>
      <c r="C12" s="84"/>
      <c r="D12" s="84"/>
      <c r="E12" s="84"/>
      <c r="F12" s="84"/>
      <c r="G12" s="84"/>
      <c r="H12" s="84"/>
    </row>
    <row r="13" spans="1:10" ht="24.95" customHeight="1">
      <c r="A13" s="83" t="s">
        <v>8</v>
      </c>
      <c r="B13" s="83"/>
      <c r="C13" s="83"/>
      <c r="D13" s="83"/>
      <c r="E13" s="83"/>
      <c r="F13" s="83"/>
      <c r="G13" s="118">
        <f>SUM(D4:D9)</f>
        <v>0</v>
      </c>
      <c r="H13" s="118"/>
    </row>
    <row r="14" spans="1:10" ht="17.100000000000001" customHeight="1">
      <c r="A14" s="24"/>
      <c r="B14" s="24"/>
      <c r="C14" s="24"/>
      <c r="D14" s="3"/>
    </row>
    <row r="15" spans="1:10" ht="24.95" customHeight="1">
      <c r="A15" s="109" t="s">
        <v>66</v>
      </c>
      <c r="B15" s="109"/>
      <c r="C15" s="109"/>
      <c r="D15" s="109"/>
      <c r="E15" s="109"/>
      <c r="F15" s="109"/>
      <c r="G15" s="109"/>
      <c r="H15" s="109"/>
    </row>
    <row r="16" spans="1:10" ht="18" customHeight="1">
      <c r="A16" s="23" t="s">
        <v>68</v>
      </c>
      <c r="B16" s="119" t="s">
        <v>30</v>
      </c>
      <c r="C16" s="120"/>
      <c r="D16" s="115" t="s">
        <v>73</v>
      </c>
      <c r="E16" s="116"/>
      <c r="F16" s="112" t="s">
        <v>2</v>
      </c>
      <c r="G16" s="113"/>
      <c r="H16" s="114"/>
      <c r="J16" s="5"/>
    </row>
    <row r="17" spans="1:8" ht="18" customHeight="1">
      <c r="A17" s="15" t="s">
        <v>69</v>
      </c>
      <c r="B17" s="106" t="str">
        <f>A4</f>
        <v>건물 일반 수선비</v>
      </c>
      <c r="C17" s="108">
        <f>H4</f>
        <v>0</v>
      </c>
      <c r="D17" s="130">
        <f t="shared" ref="D17:D22" si="1">H4</f>
        <v>0</v>
      </c>
      <c r="E17" s="131"/>
      <c r="F17" s="121">
        <f>ROUNDUP(D17*145.35,-1)</f>
        <v>0</v>
      </c>
      <c r="G17" s="122"/>
      <c r="H17" s="123"/>
    </row>
    <row r="18" spans="1:8" ht="18" customHeight="1">
      <c r="A18" s="4" t="s">
        <v>70</v>
      </c>
      <c r="B18" s="106" t="str">
        <f>A5</f>
        <v>건물 공동전기 수선비</v>
      </c>
      <c r="C18" s="108">
        <f>H5</f>
        <v>0</v>
      </c>
      <c r="D18" s="130">
        <f t="shared" si="1"/>
        <v>0</v>
      </c>
      <c r="E18" s="131"/>
      <c r="F18" s="121">
        <f t="shared" ref="F18:F22" si="2">ROUNDUP(D18*145.35,-1)</f>
        <v>0</v>
      </c>
      <c r="G18" s="122"/>
      <c r="H18" s="123"/>
    </row>
    <row r="19" spans="1:8" ht="18" customHeight="1">
      <c r="A19" s="4" t="s">
        <v>71</v>
      </c>
      <c r="B19" s="106" t="str">
        <f>A6</f>
        <v>건물 엘리베이터 수선비</v>
      </c>
      <c r="C19" s="108"/>
      <c r="D19" s="130">
        <f t="shared" si="1"/>
        <v>0</v>
      </c>
      <c r="E19" s="131"/>
      <c r="F19" s="121">
        <f t="shared" si="2"/>
        <v>0</v>
      </c>
      <c r="G19" s="122"/>
      <c r="H19" s="123"/>
    </row>
    <row r="20" spans="1:8" ht="18" customHeight="1">
      <c r="A20" s="4" t="s">
        <v>72</v>
      </c>
      <c r="B20" s="106" t="str">
        <f>A7</f>
        <v>건물 소방 수선비</v>
      </c>
      <c r="C20" s="108">
        <f>H6</f>
        <v>0</v>
      </c>
      <c r="D20" s="130">
        <f t="shared" si="1"/>
        <v>0</v>
      </c>
      <c r="E20" s="131"/>
      <c r="F20" s="121">
        <f t="shared" si="2"/>
        <v>0</v>
      </c>
      <c r="G20" s="122"/>
      <c r="H20" s="123"/>
    </row>
    <row r="21" spans="1:8" ht="18" customHeight="1">
      <c r="A21" s="4"/>
      <c r="B21" s="106"/>
      <c r="C21" s="108"/>
      <c r="D21" s="130">
        <f t="shared" si="1"/>
        <v>0</v>
      </c>
      <c r="E21" s="131"/>
      <c r="F21" s="121">
        <f t="shared" si="2"/>
        <v>0</v>
      </c>
      <c r="G21" s="122"/>
      <c r="H21" s="123"/>
    </row>
    <row r="22" spans="1:8" ht="18" customHeight="1">
      <c r="A22" s="110" t="s">
        <v>94</v>
      </c>
      <c r="B22" s="106"/>
      <c r="C22" s="108"/>
      <c r="D22" s="130">
        <f t="shared" si="1"/>
        <v>0</v>
      </c>
      <c r="E22" s="131"/>
      <c r="F22" s="121">
        <f t="shared" si="2"/>
        <v>0</v>
      </c>
      <c r="G22" s="122"/>
      <c r="H22" s="123"/>
    </row>
    <row r="23" spans="1:8" ht="24.95" customHeight="1">
      <c r="A23" s="111"/>
      <c r="B23" s="124" t="s">
        <v>5</v>
      </c>
      <c r="C23" s="125"/>
      <c r="D23" s="125"/>
      <c r="E23" s="126"/>
      <c r="F23" s="127">
        <f>SUM(F17:H22)</f>
        <v>0</v>
      </c>
      <c r="G23" s="128"/>
      <c r="H23" s="129"/>
    </row>
    <row r="24" spans="1:8" s="3" customFormat="1" ht="17.100000000000001" customHeight="1">
      <c r="E24" s="1"/>
    </row>
    <row r="25" spans="1:8" s="3" customFormat="1" ht="24.95" customHeight="1">
      <c r="A25" s="109" t="s">
        <v>67</v>
      </c>
      <c r="B25" s="109"/>
      <c r="C25" s="109"/>
      <c r="D25" s="109"/>
      <c r="E25" s="109"/>
      <c r="F25" s="109"/>
      <c r="G25" s="109"/>
      <c r="H25" s="109"/>
    </row>
    <row r="26" spans="1:8" s="3" customFormat="1" ht="17.100000000000001" customHeight="1">
      <c r="A26" s="23" t="s">
        <v>68</v>
      </c>
      <c r="B26" s="119" t="s">
        <v>74</v>
      </c>
      <c r="C26" s="120"/>
      <c r="D26" s="115" t="s">
        <v>75</v>
      </c>
      <c r="E26" s="116"/>
      <c r="F26" s="112" t="s">
        <v>2</v>
      </c>
      <c r="G26" s="113"/>
      <c r="H26" s="114"/>
    </row>
    <row r="27" spans="1:8" s="3" customFormat="1" ht="17.100000000000001" customHeight="1">
      <c r="A27" s="15" t="s">
        <v>80</v>
      </c>
      <c r="B27" s="106" t="str">
        <f>A4</f>
        <v>건물 일반 수선비</v>
      </c>
      <c r="C27" s="108">
        <f>H14</f>
        <v>0</v>
      </c>
      <c r="D27" s="130">
        <f t="shared" ref="D27:D32" si="3">H4</f>
        <v>0</v>
      </c>
      <c r="E27" s="131"/>
      <c r="F27" s="121">
        <f>ROUNDUP(D17*136,-1)</f>
        <v>0</v>
      </c>
      <c r="G27" s="122"/>
      <c r="H27" s="123"/>
    </row>
    <row r="28" spans="1:8" s="3" customFormat="1" ht="17.100000000000001" customHeight="1">
      <c r="A28" s="4" t="s">
        <v>81</v>
      </c>
      <c r="B28" s="106" t="str">
        <f>A5</f>
        <v>건물 공동전기 수선비</v>
      </c>
      <c r="C28" s="108">
        <f>H15</f>
        <v>0</v>
      </c>
      <c r="D28" s="130">
        <f t="shared" si="3"/>
        <v>0</v>
      </c>
      <c r="E28" s="131"/>
      <c r="F28" s="121">
        <f t="shared" ref="F28:F32" si="4">ROUNDUP(D18*136,-1)</f>
        <v>0</v>
      </c>
      <c r="G28" s="122"/>
      <c r="H28" s="123"/>
    </row>
    <row r="29" spans="1:8" s="3" customFormat="1" ht="17.100000000000001" customHeight="1">
      <c r="A29" s="4" t="s">
        <v>95</v>
      </c>
      <c r="B29" s="106" t="str">
        <f>A6</f>
        <v>건물 엘리베이터 수선비</v>
      </c>
      <c r="C29" s="108"/>
      <c r="D29" s="130">
        <f t="shared" si="3"/>
        <v>0</v>
      </c>
      <c r="E29" s="131"/>
      <c r="F29" s="121">
        <f t="shared" si="4"/>
        <v>0</v>
      </c>
      <c r="G29" s="122"/>
      <c r="H29" s="123"/>
    </row>
    <row r="30" spans="1:8" s="3" customFormat="1" ht="17.100000000000001" customHeight="1">
      <c r="A30" s="4" t="s">
        <v>96</v>
      </c>
      <c r="B30" s="106" t="str">
        <f>A7</f>
        <v>건물 소방 수선비</v>
      </c>
      <c r="C30" s="108">
        <f>H16</f>
        <v>0</v>
      </c>
      <c r="D30" s="130">
        <f t="shared" si="3"/>
        <v>0</v>
      </c>
      <c r="E30" s="131"/>
      <c r="F30" s="121">
        <f t="shared" si="4"/>
        <v>0</v>
      </c>
      <c r="G30" s="122"/>
      <c r="H30" s="123"/>
    </row>
    <row r="31" spans="1:8" s="3" customFormat="1" ht="17.100000000000001" customHeight="1">
      <c r="A31" s="4"/>
      <c r="B31" s="106"/>
      <c r="C31" s="108"/>
      <c r="D31" s="130">
        <f t="shared" si="3"/>
        <v>0</v>
      </c>
      <c r="E31" s="131"/>
      <c r="F31" s="121">
        <f t="shared" si="4"/>
        <v>0</v>
      </c>
      <c r="G31" s="122"/>
      <c r="H31" s="123"/>
    </row>
    <row r="32" spans="1:8" s="3" customFormat="1" ht="17.100000000000001" customHeight="1">
      <c r="A32" s="110" t="s">
        <v>93</v>
      </c>
      <c r="B32" s="106"/>
      <c r="C32" s="108"/>
      <c r="D32" s="130">
        <f t="shared" si="3"/>
        <v>0</v>
      </c>
      <c r="E32" s="131"/>
      <c r="F32" s="121">
        <f t="shared" si="4"/>
        <v>0</v>
      </c>
      <c r="G32" s="122"/>
      <c r="H32" s="123"/>
    </row>
    <row r="33" spans="1:8" s="3" customFormat="1" ht="24.95" customHeight="1">
      <c r="A33" s="111"/>
      <c r="B33" s="124" t="s">
        <v>76</v>
      </c>
      <c r="C33" s="125"/>
      <c r="D33" s="125"/>
      <c r="E33" s="126"/>
      <c r="F33" s="127">
        <f>SUM(F27:H32)</f>
        <v>0</v>
      </c>
      <c r="G33" s="128"/>
      <c r="H33" s="129"/>
    </row>
    <row r="34" spans="1:8" s="3" customFormat="1" ht="17.100000000000001" customHeight="1">
      <c r="E34" s="1"/>
    </row>
    <row r="35" spans="1:8" s="3" customFormat="1" ht="17.100000000000001" customHeight="1">
      <c r="E35" s="1"/>
    </row>
    <row r="36" spans="1:8" s="3" customFormat="1" ht="17.100000000000001" customHeight="1">
      <c r="E36" s="1"/>
    </row>
    <row r="37" spans="1:8" s="3" customFormat="1" ht="17.100000000000001" customHeight="1">
      <c r="E37" s="1"/>
    </row>
    <row r="38" spans="1:8" s="3" customFormat="1" ht="17.100000000000001" customHeight="1">
      <c r="E38" s="1"/>
    </row>
    <row r="39" spans="1:8" s="3" customFormat="1" ht="17.100000000000001" customHeight="1">
      <c r="E39" s="1"/>
    </row>
    <row r="40" spans="1:8" s="3" customFormat="1" ht="17.100000000000001" customHeight="1">
      <c r="E40" s="1"/>
    </row>
    <row r="41" spans="1:8" s="3" customFormat="1" ht="24.95" customHeight="1">
      <c r="A41" s="109" t="s">
        <v>77</v>
      </c>
      <c r="B41" s="109"/>
      <c r="C41" s="109"/>
      <c r="D41" s="109"/>
      <c r="E41" s="109"/>
      <c r="F41" s="109"/>
      <c r="G41" s="109"/>
      <c r="H41" s="109"/>
    </row>
    <row r="42" spans="1:8" s="3" customFormat="1" ht="17.100000000000001" customHeight="1">
      <c r="A42" s="23" t="s">
        <v>68</v>
      </c>
      <c r="B42" s="119" t="s">
        <v>74</v>
      </c>
      <c r="C42" s="120"/>
      <c r="D42" s="115" t="s">
        <v>75</v>
      </c>
      <c r="E42" s="116"/>
      <c r="F42" s="112" t="s">
        <v>2</v>
      </c>
      <c r="G42" s="113"/>
      <c r="H42" s="114"/>
    </row>
    <row r="43" spans="1:8" s="3" customFormat="1" ht="17.100000000000001" customHeight="1">
      <c r="A43" s="15" t="s">
        <v>82</v>
      </c>
      <c r="B43" s="106" t="str">
        <f>A4</f>
        <v>건물 일반 수선비</v>
      </c>
      <c r="C43" s="108">
        <f>H24</f>
        <v>0</v>
      </c>
      <c r="D43" s="130">
        <f t="shared" ref="D43:D48" si="5">H4</f>
        <v>0</v>
      </c>
      <c r="E43" s="131"/>
      <c r="F43" s="121">
        <f>ROUNDUP(D17*142,-1)</f>
        <v>0</v>
      </c>
      <c r="G43" s="122"/>
      <c r="H43" s="123"/>
    </row>
    <row r="44" spans="1:8" s="3" customFormat="1" ht="17.100000000000001" customHeight="1">
      <c r="A44" s="4" t="s">
        <v>83</v>
      </c>
      <c r="B44" s="106" t="str">
        <f>A5</f>
        <v>건물 공동전기 수선비</v>
      </c>
      <c r="C44" s="108">
        <f>H25</f>
        <v>0</v>
      </c>
      <c r="D44" s="130">
        <f t="shared" si="5"/>
        <v>0</v>
      </c>
      <c r="E44" s="131"/>
      <c r="F44" s="121">
        <f t="shared" ref="F44:F48" si="6">ROUNDUP(D18*142,-1)</f>
        <v>0</v>
      </c>
      <c r="G44" s="122"/>
      <c r="H44" s="123"/>
    </row>
    <row r="45" spans="1:8" s="3" customFormat="1" ht="17.100000000000001" customHeight="1">
      <c r="A45" s="4" t="s">
        <v>84</v>
      </c>
      <c r="B45" s="106" t="str">
        <f>A6</f>
        <v>건물 엘리베이터 수선비</v>
      </c>
      <c r="C45" s="108"/>
      <c r="D45" s="130">
        <f t="shared" si="5"/>
        <v>0</v>
      </c>
      <c r="E45" s="131"/>
      <c r="F45" s="121">
        <f t="shared" si="6"/>
        <v>0</v>
      </c>
      <c r="G45" s="122"/>
      <c r="H45" s="123"/>
    </row>
    <row r="46" spans="1:8" s="3" customFormat="1" ht="17.100000000000001" customHeight="1">
      <c r="A46" s="4" t="s">
        <v>85</v>
      </c>
      <c r="B46" s="106" t="str">
        <f>A7</f>
        <v>건물 소방 수선비</v>
      </c>
      <c r="C46" s="108">
        <f>H26</f>
        <v>0</v>
      </c>
      <c r="D46" s="130">
        <f t="shared" si="5"/>
        <v>0</v>
      </c>
      <c r="E46" s="131"/>
      <c r="F46" s="121">
        <f t="shared" si="6"/>
        <v>0</v>
      </c>
      <c r="G46" s="122"/>
      <c r="H46" s="123"/>
    </row>
    <row r="47" spans="1:8" s="3" customFormat="1" ht="17.100000000000001" customHeight="1">
      <c r="A47" s="4"/>
      <c r="B47" s="106"/>
      <c r="C47" s="108"/>
      <c r="D47" s="130">
        <f t="shared" si="5"/>
        <v>0</v>
      </c>
      <c r="E47" s="131"/>
      <c r="F47" s="121">
        <f t="shared" si="6"/>
        <v>0</v>
      </c>
      <c r="G47" s="122"/>
      <c r="H47" s="123"/>
    </row>
    <row r="48" spans="1:8" s="3" customFormat="1" ht="17.100000000000001" customHeight="1">
      <c r="A48" s="110" t="s">
        <v>92</v>
      </c>
      <c r="B48" s="106"/>
      <c r="C48" s="108"/>
      <c r="D48" s="130">
        <f t="shared" si="5"/>
        <v>0</v>
      </c>
      <c r="E48" s="131"/>
      <c r="F48" s="121">
        <f t="shared" si="6"/>
        <v>0</v>
      </c>
      <c r="G48" s="122"/>
      <c r="H48" s="123"/>
    </row>
    <row r="49" spans="1:8" s="3" customFormat="1" ht="24.95" customHeight="1">
      <c r="A49" s="111"/>
      <c r="B49" s="124" t="s">
        <v>76</v>
      </c>
      <c r="C49" s="125"/>
      <c r="D49" s="125"/>
      <c r="E49" s="126"/>
      <c r="F49" s="127">
        <f>SUM(F43:H48)</f>
        <v>0</v>
      </c>
      <c r="G49" s="128"/>
      <c r="H49" s="129"/>
    </row>
    <row r="50" spans="1:8" s="3" customFormat="1" ht="18" customHeight="1">
      <c r="E50" s="1"/>
    </row>
    <row r="51" spans="1:8" s="3" customFormat="1" ht="24.95" customHeight="1">
      <c r="A51" s="109" t="s">
        <v>78</v>
      </c>
      <c r="B51" s="109"/>
      <c r="C51" s="109"/>
      <c r="D51" s="109"/>
      <c r="E51" s="109"/>
      <c r="F51" s="109"/>
      <c r="G51" s="109"/>
      <c r="H51" s="109"/>
    </row>
    <row r="52" spans="1:8" s="3" customFormat="1" ht="17.100000000000001" customHeight="1">
      <c r="A52" s="23" t="s">
        <v>68</v>
      </c>
      <c r="B52" s="119" t="s">
        <v>74</v>
      </c>
      <c r="C52" s="120"/>
      <c r="D52" s="115" t="s">
        <v>75</v>
      </c>
      <c r="E52" s="116"/>
      <c r="F52" s="112" t="s">
        <v>2</v>
      </c>
      <c r="G52" s="113"/>
      <c r="H52" s="114"/>
    </row>
    <row r="53" spans="1:8" s="3" customFormat="1" ht="17.100000000000001" customHeight="1">
      <c r="A53" s="15" t="s">
        <v>11</v>
      </c>
      <c r="B53" s="106" t="str">
        <f>A4</f>
        <v>건물 일반 수선비</v>
      </c>
      <c r="C53" s="108">
        <f>H34</f>
        <v>0</v>
      </c>
      <c r="D53" s="130">
        <f t="shared" ref="D53:D58" si="7">H4</f>
        <v>0</v>
      </c>
      <c r="E53" s="131"/>
      <c r="F53" s="121">
        <f>ROUNDUP(D17*82,-1)</f>
        <v>0</v>
      </c>
      <c r="G53" s="122"/>
      <c r="H53" s="123"/>
    </row>
    <row r="54" spans="1:8" s="3" customFormat="1" ht="17.100000000000001" customHeight="1">
      <c r="A54" s="4" t="s">
        <v>86</v>
      </c>
      <c r="B54" s="106" t="str">
        <f>A5</f>
        <v>건물 공동전기 수선비</v>
      </c>
      <c r="C54" s="108">
        <f>H41</f>
        <v>0</v>
      </c>
      <c r="D54" s="130">
        <f t="shared" si="7"/>
        <v>0</v>
      </c>
      <c r="E54" s="131"/>
      <c r="F54" s="121">
        <f t="shared" ref="F54:F58" si="8">ROUNDUP(D18*82,-1)</f>
        <v>0</v>
      </c>
      <c r="G54" s="122"/>
      <c r="H54" s="123"/>
    </row>
    <row r="55" spans="1:8" s="3" customFormat="1" ht="17.100000000000001" customHeight="1">
      <c r="A55" s="4"/>
      <c r="B55" s="106" t="str">
        <f>A6</f>
        <v>건물 엘리베이터 수선비</v>
      </c>
      <c r="C55" s="108"/>
      <c r="D55" s="130">
        <f t="shared" si="7"/>
        <v>0</v>
      </c>
      <c r="E55" s="131"/>
      <c r="F55" s="121">
        <f t="shared" si="8"/>
        <v>0</v>
      </c>
      <c r="G55" s="122"/>
      <c r="H55" s="123"/>
    </row>
    <row r="56" spans="1:8" s="35" customFormat="1" ht="17.100000000000001" customHeight="1">
      <c r="A56" s="4"/>
      <c r="B56" s="106" t="str">
        <f>A7</f>
        <v>건물 소방 수선비</v>
      </c>
      <c r="C56" s="108">
        <f>H42</f>
        <v>0</v>
      </c>
      <c r="D56" s="130">
        <f t="shared" si="7"/>
        <v>0</v>
      </c>
      <c r="E56" s="131"/>
      <c r="F56" s="121">
        <f t="shared" si="8"/>
        <v>0</v>
      </c>
      <c r="G56" s="122"/>
      <c r="H56" s="123"/>
    </row>
    <row r="57" spans="1:8" s="3" customFormat="1" ht="17.100000000000001" customHeight="1">
      <c r="A57" s="4"/>
      <c r="B57" s="106"/>
      <c r="C57" s="108"/>
      <c r="D57" s="130">
        <f t="shared" si="7"/>
        <v>0</v>
      </c>
      <c r="E57" s="131"/>
      <c r="F57" s="121">
        <f t="shared" si="8"/>
        <v>0</v>
      </c>
      <c r="G57" s="122"/>
      <c r="H57" s="123"/>
    </row>
    <row r="58" spans="1:8" s="3" customFormat="1" ht="17.100000000000001" customHeight="1">
      <c r="A58" s="110" t="s">
        <v>79</v>
      </c>
      <c r="B58" s="106"/>
      <c r="C58" s="108"/>
      <c r="D58" s="130">
        <f t="shared" si="7"/>
        <v>0</v>
      </c>
      <c r="E58" s="131"/>
      <c r="F58" s="121">
        <f t="shared" si="8"/>
        <v>0</v>
      </c>
      <c r="G58" s="122"/>
      <c r="H58" s="123"/>
    </row>
    <row r="59" spans="1:8" s="3" customFormat="1" ht="24.95" customHeight="1">
      <c r="A59" s="111"/>
      <c r="B59" s="124" t="s">
        <v>76</v>
      </c>
      <c r="C59" s="125"/>
      <c r="D59" s="125"/>
      <c r="E59" s="126"/>
      <c r="F59" s="127">
        <f>SUM(F53:H58)</f>
        <v>0</v>
      </c>
      <c r="G59" s="128"/>
      <c r="H59" s="129"/>
    </row>
    <row r="60" spans="1:8" s="3" customFormat="1" ht="17.100000000000001" customHeight="1">
      <c r="E60" s="1"/>
    </row>
    <row r="61" spans="1:8" s="3" customFormat="1" ht="24.95" customHeight="1">
      <c r="A61" s="109" t="s">
        <v>87</v>
      </c>
      <c r="B61" s="109"/>
      <c r="C61" s="109"/>
      <c r="D61" s="109"/>
      <c r="E61" s="109"/>
      <c r="F61" s="109"/>
      <c r="G61" s="109"/>
      <c r="H61" s="109"/>
    </row>
    <row r="62" spans="1:8" s="3" customFormat="1" ht="17.100000000000001" customHeight="1">
      <c r="A62" s="23" t="s">
        <v>68</v>
      </c>
      <c r="B62" s="119" t="s">
        <v>74</v>
      </c>
      <c r="C62" s="120"/>
      <c r="D62" s="115" t="s">
        <v>75</v>
      </c>
      <c r="E62" s="116"/>
      <c r="F62" s="112" t="s">
        <v>2</v>
      </c>
      <c r="G62" s="113"/>
      <c r="H62" s="114"/>
    </row>
    <row r="63" spans="1:8" s="3" customFormat="1" ht="17.100000000000001" customHeight="1">
      <c r="A63" s="15" t="s">
        <v>88</v>
      </c>
      <c r="B63" s="106" t="str">
        <f>A4</f>
        <v>건물 일반 수선비</v>
      </c>
      <c r="C63" s="108">
        <f>H50</f>
        <v>0</v>
      </c>
      <c r="D63" s="130">
        <f t="shared" ref="D63:D68" si="9">H4</f>
        <v>0</v>
      </c>
      <c r="E63" s="131"/>
      <c r="F63" s="121">
        <f>ROUNDUP(D17*99,-1)</f>
        <v>0</v>
      </c>
      <c r="G63" s="122"/>
      <c r="H63" s="123"/>
    </row>
    <row r="64" spans="1:8" s="3" customFormat="1" ht="17.100000000000001" customHeight="1">
      <c r="A64" s="4"/>
      <c r="B64" s="106" t="str">
        <f>A5</f>
        <v>건물 공동전기 수선비</v>
      </c>
      <c r="C64" s="108">
        <f>H51</f>
        <v>0</v>
      </c>
      <c r="D64" s="130">
        <f t="shared" si="9"/>
        <v>0</v>
      </c>
      <c r="E64" s="131"/>
      <c r="F64" s="121">
        <f t="shared" ref="F64:F68" si="10">ROUNDUP(D18*99,-1)</f>
        <v>0</v>
      </c>
      <c r="G64" s="122"/>
      <c r="H64" s="123"/>
    </row>
    <row r="65" spans="1:8" s="3" customFormat="1" ht="17.100000000000001" customHeight="1">
      <c r="A65" s="4"/>
      <c r="B65" s="106" t="str">
        <f>A6</f>
        <v>건물 엘리베이터 수선비</v>
      </c>
      <c r="C65" s="108"/>
      <c r="D65" s="130">
        <f t="shared" si="9"/>
        <v>0</v>
      </c>
      <c r="E65" s="131"/>
      <c r="F65" s="121">
        <f t="shared" si="10"/>
        <v>0</v>
      </c>
      <c r="G65" s="122"/>
      <c r="H65" s="123"/>
    </row>
    <row r="66" spans="1:8" s="3" customFormat="1" ht="17.100000000000001" customHeight="1">
      <c r="A66" s="4"/>
      <c r="B66" s="106" t="str">
        <f>A7</f>
        <v>건물 소방 수선비</v>
      </c>
      <c r="C66" s="108">
        <f>H52</f>
        <v>0</v>
      </c>
      <c r="D66" s="130">
        <f t="shared" si="9"/>
        <v>0</v>
      </c>
      <c r="E66" s="131"/>
      <c r="F66" s="121">
        <f t="shared" si="10"/>
        <v>0</v>
      </c>
      <c r="G66" s="122"/>
      <c r="H66" s="123"/>
    </row>
    <row r="67" spans="1:8" s="3" customFormat="1" ht="17.100000000000001" customHeight="1">
      <c r="A67" s="4"/>
      <c r="B67" s="106"/>
      <c r="C67" s="108"/>
      <c r="D67" s="130">
        <f t="shared" si="9"/>
        <v>0</v>
      </c>
      <c r="E67" s="131"/>
      <c r="F67" s="121">
        <f t="shared" si="10"/>
        <v>0</v>
      </c>
      <c r="G67" s="122"/>
      <c r="H67" s="123"/>
    </row>
    <row r="68" spans="1:8" s="3" customFormat="1" ht="17.100000000000001" customHeight="1">
      <c r="A68" s="110" t="s">
        <v>89</v>
      </c>
      <c r="B68" s="106"/>
      <c r="C68" s="108"/>
      <c r="D68" s="130">
        <f t="shared" si="9"/>
        <v>0</v>
      </c>
      <c r="E68" s="131"/>
      <c r="F68" s="121">
        <f t="shared" si="10"/>
        <v>0</v>
      </c>
      <c r="G68" s="122"/>
      <c r="H68" s="123"/>
    </row>
    <row r="69" spans="1:8" s="3" customFormat="1" ht="24.95" customHeight="1">
      <c r="A69" s="111"/>
      <c r="B69" s="124" t="s">
        <v>76</v>
      </c>
      <c r="C69" s="125"/>
      <c r="D69" s="125"/>
      <c r="E69" s="126"/>
      <c r="F69" s="127">
        <f>SUM(F63:H68)</f>
        <v>0</v>
      </c>
      <c r="G69" s="128"/>
      <c r="H69" s="129"/>
    </row>
    <row r="70" spans="1:8" s="3" customFormat="1" ht="17.100000000000001" customHeight="1">
      <c r="E70" s="1"/>
    </row>
    <row r="71" spans="1:8" s="3" customFormat="1" ht="35.1" customHeight="1">
      <c r="A71" s="82" t="s">
        <v>56</v>
      </c>
      <c r="B71" s="82"/>
      <c r="C71" s="82"/>
      <c r="D71" s="82"/>
      <c r="E71" s="82"/>
      <c r="F71" s="82"/>
      <c r="G71" s="82"/>
      <c r="H71" s="82"/>
    </row>
    <row r="72" spans="1:8" s="3" customFormat="1" ht="17.100000000000001" customHeight="1">
      <c r="E72" s="1"/>
    </row>
    <row r="73" spans="1:8" s="3" customFormat="1" ht="30" customHeight="1">
      <c r="A73" s="117" t="s">
        <v>57</v>
      </c>
      <c r="B73" s="117"/>
      <c r="C73" s="117"/>
      <c r="D73" s="117"/>
      <c r="E73" s="117"/>
      <c r="F73" s="117"/>
      <c r="G73" s="117"/>
      <c r="H73" s="117"/>
    </row>
    <row r="74" spans="1:8" s="3" customFormat="1" ht="17.100000000000001" customHeight="1">
      <c r="A74" s="36"/>
      <c r="E74" s="1"/>
    </row>
    <row r="75" spans="1:8" s="3" customFormat="1" ht="17.100000000000001" customHeight="1">
      <c r="E75" s="1"/>
    </row>
    <row r="76" spans="1:8" s="3" customFormat="1" ht="17.100000000000001" customHeight="1">
      <c r="E76" s="1"/>
    </row>
    <row r="77" spans="1:8" s="3" customFormat="1" ht="17.100000000000001" customHeight="1">
      <c r="E77" s="1"/>
    </row>
    <row r="78" spans="1:8" s="3" customFormat="1" ht="17.100000000000001" customHeight="1">
      <c r="E78" s="1"/>
    </row>
    <row r="79" spans="1:8" s="3" customFormat="1" ht="20.100000000000001" customHeight="1">
      <c r="E79" s="1"/>
    </row>
    <row r="80" spans="1:8" ht="17.100000000000001" customHeight="1">
      <c r="A80" s="3"/>
      <c r="B80" s="3"/>
      <c r="C80" s="3"/>
      <c r="D80" s="3"/>
      <c r="F80" s="3"/>
      <c r="G80" s="3"/>
      <c r="H80" s="3"/>
    </row>
    <row r="81" spans="1:8" s="11" customFormat="1" ht="17.100000000000001" customHeight="1">
      <c r="A81" s="3"/>
      <c r="B81" s="3"/>
      <c r="C81" s="3"/>
      <c r="D81" s="3"/>
      <c r="E81" s="1"/>
      <c r="F81" s="3"/>
      <c r="G81" s="3"/>
      <c r="H81" s="3"/>
    </row>
    <row r="82" spans="1:8" ht="17.100000000000001" customHeight="1">
      <c r="A82" s="3"/>
      <c r="B82" s="3"/>
      <c r="C82" s="3"/>
      <c r="D82" s="3"/>
      <c r="F82" s="3"/>
      <c r="G82" s="3"/>
      <c r="H82" s="3"/>
    </row>
    <row r="83" spans="1:8" ht="17.100000000000001" customHeight="1">
      <c r="A83" s="3"/>
      <c r="B83" s="3"/>
      <c r="C83" s="3"/>
      <c r="D83" s="3"/>
      <c r="F83" s="3"/>
      <c r="G83" s="3"/>
      <c r="H83" s="3"/>
    </row>
    <row r="84" spans="1:8" ht="17.100000000000001" customHeight="1">
      <c r="A84" s="3"/>
      <c r="B84" s="3"/>
      <c r="C84" s="3"/>
      <c r="D84" s="3"/>
      <c r="F84" s="3"/>
      <c r="G84" s="3"/>
      <c r="H84" s="3"/>
    </row>
    <row r="85" spans="1:8" ht="17.100000000000001" customHeight="1">
      <c r="A85" s="3"/>
      <c r="B85" s="3"/>
      <c r="C85" s="3"/>
      <c r="D85" s="3"/>
      <c r="F85" s="3"/>
      <c r="G85" s="3"/>
      <c r="H85" s="3"/>
    </row>
    <row r="86" spans="1:8" ht="17.100000000000001" customHeight="1">
      <c r="A86" s="3"/>
      <c r="B86" s="3"/>
      <c r="C86" s="3"/>
      <c r="D86" s="3"/>
      <c r="F86" s="3"/>
      <c r="G86" s="3"/>
      <c r="H86" s="3"/>
    </row>
    <row r="87" spans="1:8" ht="17.100000000000001" customHeight="1">
      <c r="A87" s="3"/>
      <c r="B87" s="3"/>
      <c r="C87" s="3"/>
      <c r="D87" s="3"/>
      <c r="F87" s="3"/>
      <c r="G87" s="3"/>
      <c r="H87" s="3"/>
    </row>
    <row r="88" spans="1:8" ht="17.100000000000001" customHeight="1">
      <c r="A88" s="3"/>
      <c r="B88" s="3"/>
      <c r="C88" s="3"/>
      <c r="D88" s="3"/>
      <c r="F88" s="3"/>
      <c r="G88" s="3"/>
      <c r="H88" s="3"/>
    </row>
    <row r="89" spans="1:8" ht="17.100000000000001" customHeight="1">
      <c r="A89" s="3"/>
      <c r="B89" s="3"/>
      <c r="C89" s="3"/>
      <c r="D89" s="3"/>
      <c r="F89" s="3"/>
      <c r="G89" s="3"/>
      <c r="H89" s="3"/>
    </row>
    <row r="90" spans="1:8" ht="17.100000000000001" customHeight="1">
      <c r="A90" s="3"/>
      <c r="B90" s="3"/>
      <c r="C90" s="3"/>
      <c r="D90" s="3"/>
      <c r="F90" s="3"/>
      <c r="G90" s="3"/>
      <c r="H90" s="3"/>
    </row>
    <row r="91" spans="1:8" ht="17.100000000000001" customHeight="1">
      <c r="A91" s="3"/>
      <c r="B91" s="3"/>
      <c r="C91" s="3"/>
      <c r="D91" s="3"/>
      <c r="F91" s="3"/>
      <c r="G91" s="3"/>
      <c r="H91" s="3"/>
    </row>
    <row r="92" spans="1:8" ht="17.100000000000001" customHeight="1">
      <c r="A92" s="3"/>
      <c r="B92" s="3"/>
      <c r="C92" s="3"/>
      <c r="D92" s="3"/>
      <c r="F92" s="3"/>
      <c r="G92" s="3"/>
      <c r="H92" s="3"/>
    </row>
    <row r="93" spans="1:8" ht="17.100000000000001" customHeight="1">
      <c r="A93" s="3"/>
      <c r="B93" s="3"/>
      <c r="C93" s="3"/>
      <c r="D93" s="3"/>
      <c r="F93" s="3"/>
      <c r="G93" s="3"/>
      <c r="H93" s="3"/>
    </row>
    <row r="94" spans="1:8" ht="17.100000000000001" customHeight="1">
      <c r="A94" s="3"/>
      <c r="B94" s="3"/>
      <c r="C94" s="3"/>
      <c r="D94" s="3"/>
      <c r="F94" s="3"/>
      <c r="G94" s="3"/>
      <c r="H94" s="3"/>
    </row>
    <row r="95" spans="1:8" ht="17.100000000000001" customHeight="1">
      <c r="A95" s="3"/>
      <c r="B95" s="3"/>
      <c r="C95" s="3"/>
      <c r="D95" s="3"/>
      <c r="F95" s="3"/>
      <c r="G95" s="3"/>
      <c r="H95" s="3"/>
    </row>
    <row r="96" spans="1:8" ht="17.100000000000001" customHeight="1">
      <c r="A96" s="3"/>
      <c r="B96" s="3"/>
      <c r="C96" s="3"/>
      <c r="D96" s="3"/>
      <c r="F96" s="3"/>
      <c r="G96" s="3"/>
      <c r="H96" s="3"/>
    </row>
    <row r="97" spans="1:8" ht="17.100000000000001" customHeight="1">
      <c r="A97" s="3"/>
      <c r="B97" s="3"/>
      <c r="C97" s="3"/>
      <c r="D97" s="3"/>
      <c r="F97" s="3"/>
      <c r="G97" s="3"/>
      <c r="H97" s="3"/>
    </row>
    <row r="98" spans="1:8" ht="17.100000000000001" customHeight="1">
      <c r="A98" s="7" t="s">
        <v>20</v>
      </c>
      <c r="B98" s="8"/>
      <c r="C98" s="9"/>
      <c r="D98" s="6" t="e">
        <f>#REF!+#REF!+#REF!+#REF!+H31+D31+#REF!+#REF!+#REF!+#REF!+#REF!+H23+D23+#REF!+H56</f>
        <v>#REF!</v>
      </c>
      <c r="F98" s="3"/>
      <c r="G98" s="3"/>
      <c r="H98" s="3"/>
    </row>
    <row r="99" spans="1:8" ht="17.100000000000001" customHeight="1">
      <c r="D99" s="10"/>
    </row>
    <row r="100" spans="1:8" ht="17.100000000000001" customHeight="1">
      <c r="F100" s="11"/>
      <c r="G100" s="11"/>
      <c r="H100" s="11"/>
    </row>
    <row r="101" spans="1:8" ht="17.100000000000001" customHeight="1">
      <c r="D101" s="12"/>
    </row>
    <row r="102" spans="1:8" ht="17.100000000000001" customHeight="1"/>
    <row r="103" spans="1:8" ht="17.100000000000001" customHeight="1"/>
    <row r="104" spans="1:8" ht="17.100000000000001" customHeight="1"/>
    <row r="105" spans="1:8" ht="17.100000000000001" customHeight="1"/>
    <row r="106" spans="1:8" ht="17.100000000000001" customHeight="1"/>
    <row r="107" spans="1:8" ht="17.100000000000001" customHeight="1"/>
    <row r="108" spans="1:8" ht="17.100000000000001" customHeight="1"/>
    <row r="109" spans="1:8" ht="17.100000000000001" customHeight="1"/>
    <row r="110" spans="1:8" ht="17.100000000000001" customHeight="1"/>
    <row r="111" spans="1:8" ht="17.100000000000001" customHeight="1"/>
  </sheetData>
  <mergeCells count="145">
    <mergeCell ref="A68:A69"/>
    <mergeCell ref="B68:C68"/>
    <mergeCell ref="D68:E68"/>
    <mergeCell ref="F68:H68"/>
    <mergeCell ref="B69:E69"/>
    <mergeCell ref="F69:H69"/>
    <mergeCell ref="B66:C66"/>
    <mergeCell ref="D66:E66"/>
    <mergeCell ref="F66:H66"/>
    <mergeCell ref="B67:C67"/>
    <mergeCell ref="D67:E67"/>
    <mergeCell ref="F67:H67"/>
    <mergeCell ref="B64:C64"/>
    <mergeCell ref="D64:E64"/>
    <mergeCell ref="F64:H64"/>
    <mergeCell ref="B65:C65"/>
    <mergeCell ref="D65:E65"/>
    <mergeCell ref="F65:H65"/>
    <mergeCell ref="B62:C62"/>
    <mergeCell ref="D62:E62"/>
    <mergeCell ref="F62:H62"/>
    <mergeCell ref="B63:C63"/>
    <mergeCell ref="D63:E63"/>
    <mergeCell ref="F63:H63"/>
    <mergeCell ref="A58:A59"/>
    <mergeCell ref="B58:C58"/>
    <mergeCell ref="D58:E58"/>
    <mergeCell ref="F58:H58"/>
    <mergeCell ref="B59:E59"/>
    <mergeCell ref="F59:H59"/>
    <mergeCell ref="B56:C56"/>
    <mergeCell ref="D56:E56"/>
    <mergeCell ref="F56:H56"/>
    <mergeCell ref="B57:C57"/>
    <mergeCell ref="D57:E57"/>
    <mergeCell ref="F57:H57"/>
    <mergeCell ref="B54:C54"/>
    <mergeCell ref="D54:E54"/>
    <mergeCell ref="F54:H54"/>
    <mergeCell ref="B55:C55"/>
    <mergeCell ref="D55:E55"/>
    <mergeCell ref="F55:H55"/>
    <mergeCell ref="B52:C52"/>
    <mergeCell ref="D52:E52"/>
    <mergeCell ref="F52:H52"/>
    <mergeCell ref="B53:C53"/>
    <mergeCell ref="D53:E53"/>
    <mergeCell ref="F53:H53"/>
    <mergeCell ref="A48:A49"/>
    <mergeCell ref="B48:C48"/>
    <mergeCell ref="D48:E48"/>
    <mergeCell ref="F48:H48"/>
    <mergeCell ref="B49:E49"/>
    <mergeCell ref="F49:H49"/>
    <mergeCell ref="B46:C46"/>
    <mergeCell ref="D46:E46"/>
    <mergeCell ref="F46:H46"/>
    <mergeCell ref="B47:C47"/>
    <mergeCell ref="D47:E47"/>
    <mergeCell ref="F47:H47"/>
    <mergeCell ref="B44:C44"/>
    <mergeCell ref="D44:E44"/>
    <mergeCell ref="F44:H44"/>
    <mergeCell ref="B45:C45"/>
    <mergeCell ref="D45:E45"/>
    <mergeCell ref="F45:H45"/>
    <mergeCell ref="A41:H41"/>
    <mergeCell ref="B42:C42"/>
    <mergeCell ref="D42:E42"/>
    <mergeCell ref="F42:H42"/>
    <mergeCell ref="B43:C43"/>
    <mergeCell ref="D43:E43"/>
    <mergeCell ref="F43:H43"/>
    <mergeCell ref="A32:A33"/>
    <mergeCell ref="B32:C32"/>
    <mergeCell ref="D32:E32"/>
    <mergeCell ref="F32:H32"/>
    <mergeCell ref="B33:E33"/>
    <mergeCell ref="F33:H33"/>
    <mergeCell ref="B30:C30"/>
    <mergeCell ref="D30:E30"/>
    <mergeCell ref="F30:H30"/>
    <mergeCell ref="B31:C31"/>
    <mergeCell ref="D31:E31"/>
    <mergeCell ref="F31:H31"/>
    <mergeCell ref="B28:C28"/>
    <mergeCell ref="D28:E28"/>
    <mergeCell ref="F28:H28"/>
    <mergeCell ref="B29:C29"/>
    <mergeCell ref="D29:E29"/>
    <mergeCell ref="F29:H29"/>
    <mergeCell ref="B26:C26"/>
    <mergeCell ref="D26:E26"/>
    <mergeCell ref="F26:H26"/>
    <mergeCell ref="B27:C27"/>
    <mergeCell ref="D27:E27"/>
    <mergeCell ref="F27:H27"/>
    <mergeCell ref="B20:C20"/>
    <mergeCell ref="B21:C21"/>
    <mergeCell ref="B22:C22"/>
    <mergeCell ref="B23:E23"/>
    <mergeCell ref="F23:H23"/>
    <mergeCell ref="F22:H22"/>
    <mergeCell ref="D17:E17"/>
    <mergeCell ref="D18:E18"/>
    <mergeCell ref="D19:E19"/>
    <mergeCell ref="D20:E20"/>
    <mergeCell ref="D21:E21"/>
    <mergeCell ref="D22:E22"/>
    <mergeCell ref="B18:C18"/>
    <mergeCell ref="A9:C9"/>
    <mergeCell ref="E9:G9"/>
    <mergeCell ref="A61:H61"/>
    <mergeCell ref="A22:A23"/>
    <mergeCell ref="F16:H16"/>
    <mergeCell ref="D16:E16"/>
    <mergeCell ref="A73:H73"/>
    <mergeCell ref="E7:G7"/>
    <mergeCell ref="A13:F13"/>
    <mergeCell ref="G13:H13"/>
    <mergeCell ref="A10:H10"/>
    <mergeCell ref="A11:H12"/>
    <mergeCell ref="B16:C16"/>
    <mergeCell ref="F17:H17"/>
    <mergeCell ref="A15:H15"/>
    <mergeCell ref="A25:H25"/>
    <mergeCell ref="A51:H51"/>
    <mergeCell ref="A71:H71"/>
    <mergeCell ref="F18:H18"/>
    <mergeCell ref="F19:H19"/>
    <mergeCell ref="F20:H20"/>
    <mergeCell ref="F21:H21"/>
    <mergeCell ref="B17:C17"/>
    <mergeCell ref="B19:C19"/>
    <mergeCell ref="A6:C6"/>
    <mergeCell ref="E6:G6"/>
    <mergeCell ref="A7:C7"/>
    <mergeCell ref="A8:C8"/>
    <mergeCell ref="A1:H1"/>
    <mergeCell ref="A4:C4"/>
    <mergeCell ref="E4:G4"/>
    <mergeCell ref="A5:C5"/>
    <mergeCell ref="E5:G5"/>
    <mergeCell ref="A3:H3"/>
    <mergeCell ref="E8:G8"/>
  </mergeCells>
  <phoneticPr fontId="3" type="noConversion"/>
  <pageMargins left="0.19685039370078741" right="0.19685039370078741" top="0.31496062992125984" bottom="0.23622047244094491" header="0.19685039370078741" footer="0.15748031496062992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AA073-3680-476F-97E9-EA90B078CF60}">
  <dimension ref="A2:B4"/>
  <sheetViews>
    <sheetView workbookViewId="0">
      <selection activeCell="B4" sqref="B4"/>
    </sheetView>
  </sheetViews>
  <sheetFormatPr defaultRowHeight="13.5"/>
  <cols>
    <col min="1" max="1" width="13.21875" bestFit="1" customWidth="1"/>
    <col min="2" max="2" width="9.88671875" customWidth="1"/>
  </cols>
  <sheetData>
    <row r="2" spans="1:2" ht="20.100000000000001" customHeight="1">
      <c r="A2" s="42" t="s">
        <v>6</v>
      </c>
      <c r="B2" s="42">
        <v>88000</v>
      </c>
    </row>
    <row r="3" spans="1:2">
      <c r="A3" s="42" t="s">
        <v>7</v>
      </c>
      <c r="B3" s="42">
        <v>130000</v>
      </c>
    </row>
    <row r="4" spans="1:2">
      <c r="A4" s="42" t="s">
        <v>10</v>
      </c>
      <c r="B4" s="42">
        <v>255000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D4568-36B1-4DC1-B63D-A4CF98018A52}">
  <sheetPr>
    <pageSetUpPr fitToPage="1"/>
  </sheetPr>
  <dimension ref="A2:N23"/>
  <sheetViews>
    <sheetView workbookViewId="0">
      <selection activeCell="C18" sqref="C18"/>
    </sheetView>
  </sheetViews>
  <sheetFormatPr defaultRowHeight="13.5"/>
  <cols>
    <col min="1" max="1" width="4.88671875" bestFit="1" customWidth="1"/>
    <col min="2" max="2" width="10.77734375" style="43" customWidth="1"/>
    <col min="3" max="14" width="10.77734375" customWidth="1"/>
  </cols>
  <sheetData>
    <row r="2" spans="1:14" ht="27" customHeight="1">
      <c r="A2" s="132" t="s">
        <v>133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4" ht="14.2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4" ht="24.95" customHeight="1">
      <c r="A4" s="44" t="s">
        <v>120</v>
      </c>
      <c r="B4" s="44" t="s">
        <v>108</v>
      </c>
      <c r="C4" s="44" t="s">
        <v>121</v>
      </c>
      <c r="D4" s="44" t="s">
        <v>122</v>
      </c>
      <c r="E4" s="44" t="s">
        <v>123</v>
      </c>
      <c r="F4" s="44" t="s">
        <v>124</v>
      </c>
      <c r="G4" s="44" t="s">
        <v>125</v>
      </c>
      <c r="H4" s="44" t="s">
        <v>126</v>
      </c>
      <c r="I4" s="44" t="s">
        <v>127</v>
      </c>
      <c r="J4" s="44" t="s">
        <v>128</v>
      </c>
      <c r="K4" s="44" t="s">
        <v>129</v>
      </c>
      <c r="L4" s="44" t="s">
        <v>130</v>
      </c>
      <c r="M4" s="44" t="s">
        <v>131</v>
      </c>
      <c r="N4" s="44" t="s">
        <v>132</v>
      </c>
    </row>
    <row r="5" spans="1:14" ht="24.95" customHeight="1">
      <c r="A5" s="45">
        <v>1</v>
      </c>
      <c r="B5" s="44" t="s">
        <v>11</v>
      </c>
      <c r="C5" s="46">
        <f>'01월 관리비'!$D23+'01월 관리비'!$D24+'01월 관리비'!$D27</f>
        <v>55950</v>
      </c>
      <c r="D5" s="46">
        <f>'02월 관리비'!$D23+'02월 관리비'!$D24+'02월 관리비'!$D27</f>
        <v>42230</v>
      </c>
      <c r="E5" s="46">
        <f>'03월 관리비'!$D22+'03월 관리비'!$D23+'03월 관리비'!$D26</f>
        <v>89840</v>
      </c>
      <c r="F5" s="46">
        <f>'04월 관리비'!$D22+'04월 관리비'!$D23+'04월 관리비'!$D26</f>
        <v>68360</v>
      </c>
      <c r="G5" s="46">
        <f>'05월 관리비'!$D22+'05월 관리비'!$D23+'05월 관리비'!$D26</f>
        <v>75900</v>
      </c>
      <c r="H5" s="46">
        <f>'06월 관리비'!$D22+'06월 관리비'!$D23+'06월 관리비'!$D26</f>
        <v>85500</v>
      </c>
      <c r="I5" s="46">
        <f>'07월 관리비'!$D22+'07월 관리비'!$D23+'07월 관리비'!$D26</f>
        <v>96020</v>
      </c>
      <c r="J5" s="46">
        <f>'08월 관리비'!$D22+'08월 관리비'!$D23+'08월 관리비'!$D26</f>
        <v>94640</v>
      </c>
      <c r="K5" s="46">
        <f>'09월 관리비'!$D22+'09월 관리비'!$D23+'09월 관리비'!$D26</f>
        <v>75440</v>
      </c>
      <c r="L5" s="46">
        <f>'10월 관리비'!$D22+'10월 관리비'!$D23+'10월 관리비'!$D26</f>
        <v>72700</v>
      </c>
      <c r="M5" s="46">
        <f>'11월 관리비'!$D22+'11월 관리비'!$D23+'11월 관리비'!$D26</f>
        <v>72250</v>
      </c>
      <c r="N5" s="46">
        <f>'12월 관리비'!$D22+'12월 관리비'!$D23+'12월 관리비'!$D26</f>
        <v>78640</v>
      </c>
    </row>
    <row r="6" spans="1:14" ht="24.95" customHeight="1">
      <c r="A6" s="45">
        <v>2</v>
      </c>
      <c r="B6" s="44" t="s">
        <v>109</v>
      </c>
      <c r="C6" s="46">
        <f>'01월 관리비'!$H23+'01월 관리비'!$H24+'01월 관리비'!$H27</f>
        <v>55840</v>
      </c>
      <c r="D6" s="46">
        <f>'02월 관리비'!$H23+'02월 관리비'!$H24+'02월 관리비'!$H27</f>
        <v>41440</v>
      </c>
      <c r="E6" s="46">
        <f>'03월 관리비'!$H22+'03월 관리비'!$H23+'03월 관리비'!$H26</f>
        <v>94320</v>
      </c>
      <c r="F6" s="46">
        <f>'04월 관리비'!$H22+'04월 관리비'!$H23+'04월 관리비'!$H26</f>
        <v>71760</v>
      </c>
      <c r="G6" s="46">
        <f>'05월 관리비'!$H22+'05월 관리비'!$H23+'05월 관리비'!$H26</f>
        <v>79680</v>
      </c>
      <c r="H6" s="46">
        <f>'06월 관리비'!$H22+'06월 관리비'!$H23+'06월 관리비'!$H26</f>
        <v>89760</v>
      </c>
      <c r="I6" s="46">
        <f>'07월 관리비'!$H22+'07월 관리비'!$H23+'07월 관리비'!$H26</f>
        <v>100800</v>
      </c>
      <c r="J6" s="46">
        <f>'08월 관리비'!$H22+'08월 관리비'!$H23+'08월 관리비'!$H26</f>
        <v>99360</v>
      </c>
      <c r="K6" s="46">
        <f>'09월 관리비'!$H22+'09월 관리비'!$H23+'09월 관리비'!$H26</f>
        <v>79200</v>
      </c>
      <c r="L6" s="46">
        <f>'10월 관리비'!$H22+'10월 관리비'!$H23+'10월 관리비'!$H26</f>
        <v>76320</v>
      </c>
      <c r="M6" s="46">
        <f>'11월 관리비'!$H22+'11월 관리비'!$H23+'11월 관리비'!$H26</f>
        <v>75840</v>
      </c>
      <c r="N6" s="46">
        <f>'12월 관리비'!$H22+'12월 관리비'!$H23+'12월 관리비'!$H26</f>
        <v>82560</v>
      </c>
    </row>
    <row r="7" spans="1:14" ht="24.95" customHeight="1">
      <c r="A7" s="45">
        <v>3</v>
      </c>
      <c r="B7" s="44" t="s">
        <v>110</v>
      </c>
      <c r="C7" s="46">
        <f>'01월 관리비'!$D29+'01월 관리비'!$D30+'01월 관리비'!$D33</f>
        <v>87360</v>
      </c>
      <c r="D7" s="46">
        <f>'02월 관리비'!$D29+'02월 관리비'!$D30+'02월 관리비'!$D33</f>
        <v>99360</v>
      </c>
      <c r="E7" s="46">
        <f>'03월 관리비'!$D29+'03월 관리비'!$D30+'03월 관리비'!$D33</f>
        <v>94320</v>
      </c>
      <c r="F7" s="46">
        <f>'04월 관리비'!$D29+'04월 관리비'!$D30+'04월 관리비'!$D33</f>
        <v>71760</v>
      </c>
      <c r="G7" s="46">
        <f>'05월 관리비'!$D29+'05월 관리비'!$D30+'05월 관리비'!$D33</f>
        <v>79680</v>
      </c>
      <c r="H7" s="46">
        <f>'06월 관리비'!$D29+'06월 관리비'!$D30+'06월 관리비'!$D33</f>
        <v>89760</v>
      </c>
      <c r="I7" s="46">
        <f>'07월 관리비'!$D29+'07월 관리비'!$D30+'07월 관리비'!$D33</f>
        <v>100800</v>
      </c>
      <c r="J7" s="46">
        <f>'08월 관리비'!$D29+'08월 관리비'!$D30+'08월 관리비'!$D33</f>
        <v>99360</v>
      </c>
      <c r="K7" s="46">
        <f>'09월 관리비'!$D29+'09월 관리비'!$D30+'09월 관리비'!$D33</f>
        <v>79200</v>
      </c>
      <c r="L7" s="46">
        <f>'10월 관리비'!$D29+'10월 관리비'!$D30+'10월 관리비'!$D33</f>
        <v>76320</v>
      </c>
      <c r="M7" s="46">
        <f>'11월 관리비'!$D29+'11월 관리비'!$D30+'11월 관리비'!$D33</f>
        <v>75840</v>
      </c>
      <c r="N7" s="46">
        <f>'12월 관리비'!$D29+'12월 관리비'!$D30+'12월 관리비'!$D33</f>
        <v>82560</v>
      </c>
    </row>
    <row r="8" spans="1:14" ht="24.95" customHeight="1">
      <c r="A8" s="45">
        <v>4</v>
      </c>
      <c r="B8" s="44" t="s">
        <v>111</v>
      </c>
      <c r="C8" s="46">
        <f>'01월 관리비'!$H29+'01월 관리비'!$H30+'01월 관리비'!$H33</f>
        <v>83210</v>
      </c>
      <c r="D8" s="46">
        <f>'02월 관리비'!$H29+'02월 관리비'!$H30+'02월 관리비'!$H33</f>
        <v>94650</v>
      </c>
      <c r="E8" s="46">
        <f>'03월 관리비'!$D25+'03월 관리비'!$D26+'03월 관리비'!$D29</f>
        <v>88360</v>
      </c>
      <c r="F8" s="46">
        <f>'04월 관리비'!$D25+'04월 관리비'!$D26+'04월 관리비'!$D29</f>
        <v>66730</v>
      </c>
      <c r="G8" s="46">
        <f>'05월 관리비'!$D25+'05월 관리비'!$D26+'05월 관리비'!$D29</f>
        <v>74250</v>
      </c>
      <c r="H8" s="46">
        <f>'06월 관리비'!$D25+'06월 관리비'!$D26+'06월 관리비'!$D29</f>
        <v>83900</v>
      </c>
      <c r="I8" s="46">
        <f>'07월 관리비'!$D25+'07월 관리비'!$D26+'07월 관리비'!$D29</f>
        <v>94600</v>
      </c>
      <c r="J8" s="46">
        <f>'08월 관리비'!$D25+'08월 관리비'!$D26+'08월 관리비'!$D29</f>
        <v>93170</v>
      </c>
      <c r="K8" s="46">
        <f>'09월 관리비'!$D25+'09월 관리비'!$D26+'09월 관리비'!$D29</f>
        <v>73800</v>
      </c>
      <c r="L8" s="46">
        <f>'10월 관리비'!$D25+'10월 관리비'!$D26+'10월 관리비'!$D29</f>
        <v>70920</v>
      </c>
      <c r="M8" s="46">
        <f>'11월 관리비'!$D25+'11월 관리비'!$D26+'11월 관리비'!$D29</f>
        <v>70570</v>
      </c>
      <c r="N8" s="46">
        <f>'12월 관리비'!$D25+'12월 관리비'!$D26+'12월 관리비'!$D29</f>
        <v>77010</v>
      </c>
    </row>
    <row r="9" spans="1:14" ht="24.95" customHeight="1">
      <c r="A9" s="45">
        <v>5</v>
      </c>
      <c r="B9" s="44" t="s">
        <v>112</v>
      </c>
      <c r="C9" s="46">
        <f>'01월 관리비'!$D35+'01월 관리비'!$D36+'01월 관리비'!$D39</f>
        <v>160840</v>
      </c>
      <c r="D9" s="46">
        <f>'02월 관리비'!$D35+'02월 관리비'!$D36+'02월 관리비'!$D39</f>
        <v>159020</v>
      </c>
      <c r="E9" s="46">
        <f>'03월 관리비'!$H29+'03월 관리비'!$H30+'03월 관리비'!$H33</f>
        <v>89840</v>
      </c>
      <c r="F9" s="46">
        <f>'04월 관리비'!$H29+'04월 관리비'!$H30+'04월 관리비'!$H33</f>
        <v>68360</v>
      </c>
      <c r="G9" s="46">
        <f>'05월 관리비'!$H29+'05월 관리비'!$H30+'05월 관리비'!$H33</f>
        <v>75900</v>
      </c>
      <c r="H9" s="46">
        <f>'06월 관리비'!$H29+'06월 관리비'!$H30+'06월 관리비'!$H33</f>
        <v>85500</v>
      </c>
      <c r="I9" s="46">
        <f>'07월 관리비'!$H29+'07월 관리비'!$H30+'07월 관리비'!$H33</f>
        <v>96020</v>
      </c>
      <c r="J9" s="46">
        <f>'08월 관리비'!$H29+'08월 관리비'!$H30+'08월 관리비'!$H33</f>
        <v>94640</v>
      </c>
      <c r="K9" s="46">
        <f>'09월 관리비'!$H29+'09월 관리비'!$H30+'09월 관리비'!$H33</f>
        <v>75440</v>
      </c>
      <c r="L9" s="46">
        <f>'10월 관리비'!$H29+'10월 관리비'!$H30+'10월 관리비'!$H33</f>
        <v>72700</v>
      </c>
      <c r="M9" s="46">
        <f>'11월 관리비'!$H29+'11월 관리비'!$H30+'11월 관리비'!$H33</f>
        <v>72250</v>
      </c>
      <c r="N9" s="46">
        <f>'12월 관리비'!$H29+'12월 관리비'!$H30+'12월 관리비'!$H33</f>
        <v>78640</v>
      </c>
    </row>
    <row r="10" spans="1:14" ht="24.95" customHeight="1">
      <c r="A10" s="45">
        <v>6</v>
      </c>
      <c r="B10" s="44" t="s">
        <v>113</v>
      </c>
      <c r="C10" s="46">
        <f>'01월 관리비'!$H35+'01월 관리비'!$H36+'01월 관리비'!$H39</f>
        <v>167180</v>
      </c>
      <c r="D10" s="46">
        <f>'02월 관리비'!$H35+'02월 관리비'!$H36+'02월 관리비'!$H39</f>
        <v>165460</v>
      </c>
      <c r="E10" s="46">
        <f>'03월 관리비'!$D36+'03월 관리비'!$D37+'03월 관리비'!$D40</f>
        <v>56410</v>
      </c>
      <c r="F10" s="46">
        <f>'04월 관리비'!$D36+'04월 관리비'!$D37+'04월 관리비'!$D40</f>
        <v>42920</v>
      </c>
      <c r="G10" s="46">
        <f>'05월 관리비'!$D36+'05월 관리비'!$D37+'05월 관리비'!$D40</f>
        <v>47660</v>
      </c>
      <c r="H10" s="46">
        <f>'06월 관리비'!$D36+'06월 관리비'!$D37+'06월 관리비'!$D40</f>
        <v>53680</v>
      </c>
      <c r="I10" s="46">
        <f>'07월 관리비'!$D36+'07월 관리비'!$D37+'07월 관리비'!$D40</f>
        <v>60280</v>
      </c>
      <c r="J10" s="46">
        <f>'08월 관리비'!$D36+'08월 관리비'!$D37+'08월 관리비'!$D40</f>
        <v>59430</v>
      </c>
      <c r="K10" s="46">
        <f>'09월 관리비'!$D36+'09월 관리비'!$D37+'09월 관리비'!$D40</f>
        <v>47360</v>
      </c>
      <c r="L10" s="46">
        <f>'10월 관리비'!$D36+'10월 관리비'!$D37+'10월 관리비'!$D40</f>
        <v>45640</v>
      </c>
      <c r="M10" s="46">
        <f>'11월 관리비'!$D36+'11월 관리비'!$D37+'11월 관리비'!$D40</f>
        <v>45360</v>
      </c>
      <c r="N10" s="46">
        <f>'12월 관리비'!$D36+'12월 관리비'!$D37+'12월 관리비'!$D40</f>
        <v>49380</v>
      </c>
    </row>
    <row r="11" spans="1:14" ht="24.95" customHeight="1">
      <c r="A11" s="45">
        <v>7</v>
      </c>
      <c r="B11" s="44" t="s">
        <v>114</v>
      </c>
      <c r="C11" s="46">
        <f>'01월 관리비'!$D41+'01월 관리비'!$D42+'01월 관리비'!$D45</f>
        <v>101530</v>
      </c>
      <c r="D11" s="46">
        <f>'02월 관리비'!$D41+'02월 관리비'!$D42+'02월 관리비'!$D45</f>
        <v>91500</v>
      </c>
      <c r="E11" s="46">
        <f>'03월 관리비'!$D43+'03월 관리비'!$D44+'03월 관리비'!$D47</f>
        <v>94320</v>
      </c>
      <c r="F11" s="46">
        <f>'04월 관리비'!$D43+'04월 관리비'!$D44+'04월 관리비'!$D47</f>
        <v>71760</v>
      </c>
      <c r="G11" s="46">
        <f>'05월 관리비'!$D43+'05월 관리비'!$D44+'05월 관리비'!$D47</f>
        <v>79680</v>
      </c>
      <c r="H11" s="46">
        <f>'06월 관리비'!$D43+'06월 관리비'!$D44+'06월 관리비'!$D47</f>
        <v>89760</v>
      </c>
      <c r="I11" s="46">
        <f>'07월 관리비'!$D43+'07월 관리비'!$D44+'07월 관리비'!$D47</f>
        <v>100800</v>
      </c>
      <c r="J11" s="46">
        <f>'08월 관리비'!$D43+'08월 관리비'!$D44+'08월 관리비'!$D47</f>
        <v>99360</v>
      </c>
      <c r="K11" s="46">
        <f>'09월 관리비'!$D43+'09월 관리비'!$D44+'09월 관리비'!$D47</f>
        <v>79200</v>
      </c>
      <c r="L11" s="46">
        <f>'10월 관리비'!$D43+'10월 관리비'!$D44+'10월 관리비'!$D47</f>
        <v>76320</v>
      </c>
      <c r="M11" s="46">
        <f>'11월 관리비'!$D43+'11월 관리비'!$D44+'11월 관리비'!$D47</f>
        <v>75840</v>
      </c>
      <c r="N11" s="46">
        <f>'12월 관리비'!$D43+'12월 관리비'!$D44+'12월 관리비'!$D47</f>
        <v>82560</v>
      </c>
    </row>
    <row r="12" spans="1:14" ht="24.95" customHeight="1">
      <c r="A12" s="45">
        <v>8</v>
      </c>
      <c r="B12" s="44" t="s">
        <v>14</v>
      </c>
      <c r="C12" s="46">
        <f>'01월 관리비'!$D49+'01월 관리비'!$D50+'01월 관리비'!$D53</f>
        <v>289330</v>
      </c>
      <c r="D12" s="46">
        <f>'02월 관리비'!$D49+'02월 관리비'!$D50+'02월 관리비'!$D53</f>
        <v>290890</v>
      </c>
      <c r="E12" s="46">
        <f>'03월 관리비'!$D53+'03월 관리비'!$D54+'03월 관리비'!$D57</f>
        <v>389070</v>
      </c>
      <c r="F12" s="46">
        <f>'04월 관리비'!$D53+'04월 관리비'!$D54+'04월 관리비'!$D57</f>
        <v>296010</v>
      </c>
      <c r="G12" s="46">
        <f>'05월 관리비'!$D53+'05월 관리비'!$D54+'05월 관리비'!$D57</f>
        <v>328680</v>
      </c>
      <c r="H12" s="46">
        <f>'06월 관리비'!$D53+'06월 관리비'!$D54+'06월 관리비'!$D57</f>
        <v>370260</v>
      </c>
      <c r="I12" s="46">
        <f>'07월 관리비'!$D53+'07월 관리비'!$D54+'07월 관리비'!$D57</f>
        <v>415800</v>
      </c>
      <c r="J12" s="46">
        <f>'08월 관리비'!$D53+'08월 관리비'!$D54+'08월 관리비'!$D57</f>
        <v>409860</v>
      </c>
      <c r="K12" s="46">
        <f>'09월 관리비'!$D53+'09월 관리비'!$D54+'09월 관리비'!$D57</f>
        <v>326700</v>
      </c>
      <c r="L12" s="46">
        <f>'10월 관리비'!$D53+'10월 관리비'!$D54+'10월 관리비'!$D57</f>
        <v>314820</v>
      </c>
      <c r="M12" s="46">
        <f>'11월 관리비'!$D53+'11월 관리비'!$D54+'11월 관리비'!$D57</f>
        <v>312840</v>
      </c>
      <c r="N12" s="46">
        <f>'12월 관리비'!$D53+'12월 관리비'!$D54+'12월 관리비'!$D57</f>
        <v>340560</v>
      </c>
    </row>
    <row r="13" spans="1:14" ht="24.95" customHeight="1">
      <c r="A13" s="45">
        <v>9</v>
      </c>
      <c r="B13" s="44" t="s">
        <v>115</v>
      </c>
      <c r="C13" s="46">
        <f>'01월 관리비'!$H49+'01월 관리비'!$H50+'01월 관리비'!$H53</f>
        <v>89090</v>
      </c>
      <c r="D13" s="46">
        <f>'02월 관리비'!$H49+'02월 관리비'!$H50+'02월 관리비'!$H53</f>
        <v>91450</v>
      </c>
      <c r="E13" s="46">
        <f>'03월 관리비'!$H53+'03월 관리비'!$H54+'03월 관리비'!$H57</f>
        <v>231870</v>
      </c>
      <c r="F13" s="46">
        <f>'04월 관리비'!$H53+'04월 관리비'!$H54+'04월 관리비'!$H57</f>
        <v>176410</v>
      </c>
      <c r="G13" s="46">
        <f>'05월 관리비'!$H53+'05월 관리비'!$H54+'05월 관리비'!$H57</f>
        <v>195880</v>
      </c>
      <c r="H13" s="46">
        <f>'06월 관리비'!$H53+'06월 관리비'!$H54+'06월 관리비'!$H57</f>
        <v>220660</v>
      </c>
      <c r="I13" s="46">
        <f>'07월 관리비'!$H53+'07월 관리비'!$H54+'07월 관리비'!$H57</f>
        <v>247800</v>
      </c>
      <c r="J13" s="46">
        <f>'08월 관리비'!$H53+'08월 관리비'!$H54+'08월 관리비'!$H57</f>
        <v>244260</v>
      </c>
      <c r="K13" s="46">
        <f>'09월 관리비'!$H53+'09월 관리비'!$H54+'09월 관리비'!$H57</f>
        <v>194700</v>
      </c>
      <c r="L13" s="46">
        <f>'10월 관리비'!$H53+'10월 관리비'!$H54+'10월 관리비'!$H57</f>
        <v>187620</v>
      </c>
      <c r="M13" s="46">
        <f>'11월 관리비'!$H53+'11월 관리비'!$H54+'11월 관리비'!$H57</f>
        <v>186440</v>
      </c>
      <c r="N13" s="46">
        <f>'12월 관리비'!$H53+'12월 관리비'!$H54+'12월 관리비'!$H57</f>
        <v>202960</v>
      </c>
    </row>
    <row r="14" spans="1:14" ht="24.95" customHeight="1">
      <c r="A14" s="45">
        <v>10</v>
      </c>
      <c r="B14" s="44" t="s">
        <v>38</v>
      </c>
      <c r="C14" s="46">
        <f>'01월 관리비'!$D57+'01월 관리비'!$D58+'01월 관리비'!$D61</f>
        <v>204930</v>
      </c>
      <c r="D14" s="46">
        <f>'02월 관리비'!$D57+'02월 관리비'!$D58+'02월 관리비'!$D61</f>
        <v>191070</v>
      </c>
      <c r="E14" s="46">
        <f>'03월 관리비'!$D63+'03월 관리비'!$D64+'03월 관리비'!$D67</f>
        <v>204360</v>
      </c>
      <c r="F14" s="46">
        <f>'04월 관리비'!$D63+'04월 관리비'!$D64+'04월 관리비'!$D67</f>
        <v>155480</v>
      </c>
      <c r="G14" s="46">
        <f>'05월 관리비'!$D63+'05월 관리비'!$D64+'05월 관리비'!$D67</f>
        <v>172640</v>
      </c>
      <c r="H14" s="46">
        <f>'06월 관리비'!$D63+'06월 관리비'!$D64+'06월 관리비'!$D67</f>
        <v>194480</v>
      </c>
      <c r="I14" s="46">
        <f>'07월 관리비'!$D63+'07월 관리비'!$D64+'07월 관리비'!$D67</f>
        <v>218400</v>
      </c>
      <c r="J14" s="46">
        <f>'08월 관리비'!$D63+'08월 관리비'!$D64+'08월 관리비'!$D67</f>
        <v>215280</v>
      </c>
      <c r="K14" s="46">
        <f>'09월 관리비'!$D63+'09월 관리비'!$D64+'09월 관리비'!$D67</f>
        <v>171600</v>
      </c>
      <c r="L14" s="46">
        <f>'10월 관리비'!$D63+'10월 관리비'!$D64+'10월 관리비'!$D67</f>
        <v>165360</v>
      </c>
      <c r="M14" s="46">
        <f>'11월 관리비'!$D63+'11월 관리비'!$D64+'11월 관리비'!$D67</f>
        <v>164320</v>
      </c>
      <c r="N14" s="46">
        <f>'12월 관리비'!$D63+'12월 관리비'!$D64+'12월 관리비'!$D67</f>
        <v>178880</v>
      </c>
    </row>
    <row r="15" spans="1:14" ht="24.95" customHeight="1">
      <c r="A15" s="45">
        <v>11</v>
      </c>
      <c r="B15" s="44" t="s">
        <v>116</v>
      </c>
      <c r="C15" s="46">
        <f>'01월 관리비'!$H57+'01월 관리비'!$H58+'01월 관리비'!$H61</f>
        <v>122130</v>
      </c>
      <c r="D15" s="46">
        <f>'02월 관리비'!$H57+'02월 관리비'!$H58+'02월 관리비'!$H61</f>
        <v>113870</v>
      </c>
      <c r="E15" s="46">
        <f>'03월 관리비'!$H63+'03월 관리비'!$H64+'03월 관리비'!$H67</f>
        <v>200430</v>
      </c>
      <c r="F15" s="46">
        <f>'04월 관리비'!$H63+'04월 관리비'!$H64+'04월 관리비'!$H67</f>
        <v>152490</v>
      </c>
      <c r="G15" s="46">
        <f>'05월 관리비'!$H63+'05월 관리비'!$H64+'05월 관리비'!$H67</f>
        <v>169320</v>
      </c>
      <c r="H15" s="46">
        <f>'06월 관리비'!$H63+'06월 관리비'!$H64+'06월 관리비'!$H67</f>
        <v>190740</v>
      </c>
      <c r="I15" s="46">
        <f>'07월 관리비'!$H63+'07월 관리비'!$H64+'07월 관리비'!$H67</f>
        <v>214200</v>
      </c>
      <c r="J15" s="46">
        <f>'08월 관리비'!$H63+'08월 관리비'!$H64+'08월 관리비'!$H67</f>
        <v>211140</v>
      </c>
      <c r="K15" s="46">
        <f>'09월 관리비'!$H63+'09월 관리비'!$H64+'09월 관리비'!$H67</f>
        <v>168300</v>
      </c>
      <c r="L15" s="46">
        <f>'10월 관리비'!$H63+'10월 관리비'!$H64+'10월 관리비'!$H67</f>
        <v>162180</v>
      </c>
      <c r="M15" s="46">
        <f>'11월 관리비'!$H63+'11월 관리비'!$H64+'11월 관리비'!$H67</f>
        <v>161160</v>
      </c>
      <c r="N15" s="46">
        <f>'12월 관리비'!$H63+'12월 관리비'!$H64+'12월 관리비'!$H67</f>
        <v>175440</v>
      </c>
    </row>
    <row r="16" spans="1:14" ht="24.95" customHeight="1">
      <c r="A16" s="45">
        <v>12</v>
      </c>
      <c r="B16" s="44" t="s">
        <v>117</v>
      </c>
      <c r="C16" s="46">
        <f>'01월 관리비'!$D63+'01월 관리비'!$D64+'01월 관리비'!$D67</f>
        <v>189280</v>
      </c>
      <c r="D16" s="46">
        <f>'02월 관리비'!$D63+'02월 관리비'!$D64+'02월 관리비'!$D67</f>
        <v>215280</v>
      </c>
      <c r="E16" s="46">
        <f>'03월 관리비'!$D70+'03월 관리비'!$D71+'03월 관리비'!$D74</f>
        <v>184710</v>
      </c>
      <c r="F16" s="46">
        <f>'04월 관리비'!$D70+'04월 관리비'!$D71+'04월 관리비'!$D74</f>
        <v>140530</v>
      </c>
      <c r="G16" s="46">
        <f>'05월 관리비'!$D70+'05월 관리비'!$D71+'05월 관리비'!$D74</f>
        <v>156040</v>
      </c>
      <c r="H16" s="46">
        <f>'06월 관리비'!$D70+'06월 관리비'!$D71+'06월 관리비'!$D74</f>
        <v>175780</v>
      </c>
      <c r="I16" s="46">
        <f>'07월 관리비'!$D70+'07월 관리비'!$D71+'07월 관리비'!$D74</f>
        <v>197400</v>
      </c>
      <c r="J16" s="46">
        <f>'08월 관리비'!$D70+'08월 관리비'!$D71+'08월 관리비'!$D74</f>
        <v>194580</v>
      </c>
      <c r="K16" s="46">
        <f>'09월 관리비'!$D70+'09월 관리비'!$D71+'09월 관리비'!$D74</f>
        <v>155100</v>
      </c>
      <c r="L16" s="46">
        <f>'10월 관리비'!$D70+'10월 관리비'!$D71+'10월 관리비'!$D74</f>
        <v>149460</v>
      </c>
      <c r="M16" s="46">
        <f>'11월 관리비'!$D70+'11월 관리비'!$D71+'11월 관리비'!$D74</f>
        <v>148520</v>
      </c>
      <c r="N16" s="46">
        <f>'12월 관리비'!$D70+'12월 관리비'!$D71+'12월 관리비'!$D74</f>
        <v>161680</v>
      </c>
    </row>
    <row r="17" spans="1:14" ht="24.95" customHeight="1">
      <c r="A17" s="45">
        <v>13</v>
      </c>
      <c r="B17" s="44" t="s">
        <v>43</v>
      </c>
      <c r="C17" s="46">
        <f>'01월 관리비'!$D71+'01월 관리비'!$D72+'01월 관리비'!$D75</f>
        <v>78020</v>
      </c>
      <c r="D17" s="46">
        <f>'02월 관리비'!$D71+'02월 관리비'!$D72+'02월 관리비'!$D75</f>
        <v>49820</v>
      </c>
      <c r="E17" s="46">
        <f>'03월 관리비'!$D80+'03월 관리비'!$D81+'03월 관리비'!$D84</f>
        <v>204360</v>
      </c>
      <c r="F17" s="46">
        <f>'04월 관리비'!$D80+'04월 관리비'!$D81+'04월 관리비'!$D84</f>
        <v>155480</v>
      </c>
      <c r="G17" s="46">
        <f>'05월 관리비'!$D80+'05월 관리비'!$D81+'05월 관리비'!$D84</f>
        <v>172640</v>
      </c>
      <c r="H17" s="46">
        <f>'06월 관리비'!$D80+'06월 관리비'!$D81+'06월 관리비'!$D84</f>
        <v>194480</v>
      </c>
      <c r="I17" s="46">
        <f>'07월 관리비'!$D80+'07월 관리비'!$D81+'07월 관리비'!$D84</f>
        <v>218400</v>
      </c>
      <c r="J17" s="46">
        <f>'08월 관리비'!$D80+'08월 관리비'!$D81+'08월 관리비'!$D84</f>
        <v>215280</v>
      </c>
      <c r="K17" s="46">
        <f>'09월 관리비'!$D80+'09월 관리비'!$D81+'09월 관리비'!$D84</f>
        <v>171600</v>
      </c>
      <c r="L17" s="46">
        <f>'10월 관리비'!$D80+'10월 관리비'!$D81+'10월 관리비'!$D84</f>
        <v>165360</v>
      </c>
      <c r="M17" s="46">
        <f>'11월 관리비'!$D80+'11월 관리비'!$D81+'11월 관리비'!$D84</f>
        <v>164320</v>
      </c>
      <c r="N17" s="46">
        <f>'12월 관리비'!$D80+'12월 관리비'!$D81+'12월 관리비'!$D84</f>
        <v>178880</v>
      </c>
    </row>
    <row r="18" spans="1:14" ht="24.95" customHeight="1">
      <c r="A18" s="45">
        <v>14</v>
      </c>
      <c r="B18" s="44" t="s">
        <v>118</v>
      </c>
      <c r="C18" s="46">
        <f>'01월 관리비'!$H80+'01월 관리비'!$H81+'01월 관리비'!$H84</f>
        <v>185640</v>
      </c>
      <c r="D18" s="46">
        <f>'02월 관리비'!$H80+'02월 관리비'!$H81+'02월 관리비'!$H84</f>
        <v>211140</v>
      </c>
      <c r="E18" s="46">
        <f>'03월 관리비'!$H80+'03월 관리비'!$H81+'03월 관리비'!$H84</f>
        <v>200430</v>
      </c>
      <c r="F18" s="46">
        <f>'04월 관리비'!$H80+'04월 관리비'!$H81+'04월 관리비'!$H84</f>
        <v>152490</v>
      </c>
      <c r="G18" s="46">
        <f>'05월 관리비'!$H80+'05월 관리비'!$H81+'05월 관리비'!$H84</f>
        <v>169320</v>
      </c>
      <c r="H18" s="46">
        <f>'06월 관리비'!$H80+'06월 관리비'!$H81+'06월 관리비'!$H84</f>
        <v>190740</v>
      </c>
      <c r="I18" s="46">
        <f>'07월 관리비'!$H80+'07월 관리비'!$H81+'07월 관리비'!$H84</f>
        <v>214200</v>
      </c>
      <c r="J18" s="46">
        <f>'08월 관리비'!$H80+'08월 관리비'!$H81+'08월 관리비'!$H84</f>
        <v>211140</v>
      </c>
      <c r="K18" s="46">
        <f>'09월 관리비'!$H80+'09월 관리비'!$H81+'09월 관리비'!$H84</f>
        <v>168300</v>
      </c>
      <c r="L18" s="46">
        <f>'10월 관리비'!$H80+'10월 관리비'!$H81+'10월 관리비'!$H84</f>
        <v>162180</v>
      </c>
      <c r="M18" s="46">
        <f>'11월 관리비'!$H80+'11월 관리비'!$H81+'11월 관리비'!$H84</f>
        <v>161160</v>
      </c>
      <c r="N18" s="46">
        <f>'12월 관리비'!$H80+'12월 관리비'!$H81+'12월 관리비'!$H84</f>
        <v>175440</v>
      </c>
    </row>
    <row r="19" spans="1:14" ht="24.95" customHeight="1">
      <c r="A19" s="45">
        <v>15</v>
      </c>
      <c r="B19" s="44" t="s">
        <v>119</v>
      </c>
      <c r="C19" s="46">
        <f>'01월 관리비'!$D77+'01월 관리비'!$D78+'01월 관리비'!$D81</f>
        <v>44720</v>
      </c>
      <c r="D19" s="46">
        <f>'02월 관리비'!$D77+'02월 관리비'!$D78+'02월 관리비'!$D81</f>
        <v>44720</v>
      </c>
      <c r="E19" s="46">
        <f>'03월 관리비'!$D87+'03월 관리비'!$D88+'03월 관리비'!$D91</f>
        <v>189450</v>
      </c>
      <c r="F19" s="46">
        <f>'04월 관리비'!$D87+'04월 관리비'!$D88+'04월 관리비'!$D91</f>
        <v>145010</v>
      </c>
      <c r="G19" s="46">
        <f>'05월 관리비'!$D87+'05월 관리비'!$D88+'05월 관리비'!$D91</f>
        <v>160480</v>
      </c>
      <c r="H19" s="46">
        <f>'06월 관리비'!$D87+'06월 관리비'!$D88+'06월 관리비'!$D91</f>
        <v>180320</v>
      </c>
      <c r="I19" s="46">
        <f>'07월 관리비'!$D87+'07월 관리비'!$D88+'07월 관리비'!$D91</f>
        <v>202260</v>
      </c>
      <c r="J19" s="46">
        <f>'08월 관리비'!$D87+'08월 관리비'!$D88+'08월 관리비'!$D91</f>
        <v>199340</v>
      </c>
      <c r="K19" s="46">
        <f>'09월 관리비'!$D87+'09월 관리비'!$D88+'09월 관리비'!$D91</f>
        <v>159560</v>
      </c>
      <c r="L19" s="46">
        <f>'10월 관리비'!$D87+'10월 관리비'!$D88+'10월 관리비'!$D91</f>
        <v>153680</v>
      </c>
      <c r="M19" s="46">
        <f>'11월 관리비'!$D87+'11월 관리비'!$D88+'11월 관리비'!$D91</f>
        <v>152920</v>
      </c>
      <c r="N19" s="46">
        <f>'12월 관리비'!$D87+'12월 관리비'!$D88+'12월 관리비'!$D91</f>
        <v>166160</v>
      </c>
    </row>
    <row r="21" spans="1:14">
      <c r="C21" t="s">
        <v>134</v>
      </c>
    </row>
    <row r="22" spans="1:14">
      <c r="C22" t="s">
        <v>9</v>
      </c>
    </row>
    <row r="23" spans="1:14">
      <c r="C23" t="s">
        <v>100</v>
      </c>
    </row>
  </sheetData>
  <mergeCells count="1">
    <mergeCell ref="A2:N2"/>
  </mergeCells>
  <phoneticPr fontId="2" type="noConversion"/>
  <printOptions horizontalCentered="1" verticalCentered="1"/>
  <pageMargins left="0.19685039370078741" right="0.19685039370078741" top="0.74803149606299213" bottom="0.74803149606299213" header="0.31496062992125984" footer="0.31496062992125984"/>
  <pageSetup paperSize="9" scale="86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831AD-06D4-43E4-B0BF-B447692BFAC9}">
  <dimension ref="A1:D34"/>
  <sheetViews>
    <sheetView workbookViewId="0">
      <selection activeCell="B1" sqref="B1"/>
    </sheetView>
  </sheetViews>
  <sheetFormatPr defaultRowHeight="13.5"/>
  <cols>
    <col min="1" max="4" width="15.77734375" customWidth="1"/>
  </cols>
  <sheetData>
    <row r="1" spans="1:4" ht="29.25" customHeight="1"/>
    <row r="2" spans="1:4" ht="31.5">
      <c r="A2" s="133" t="s">
        <v>135</v>
      </c>
      <c r="B2" s="133"/>
      <c r="C2" s="133"/>
      <c r="D2" s="133"/>
    </row>
    <row r="3" spans="1:4" ht="39.950000000000003" customHeight="1"/>
    <row r="4" spans="1:4" ht="30" customHeight="1">
      <c r="A4" s="134" t="s">
        <v>136</v>
      </c>
      <c r="B4" s="134"/>
      <c r="C4" s="134"/>
      <c r="D4" s="134"/>
    </row>
    <row r="5" spans="1:4" ht="30" customHeight="1">
      <c r="A5" s="50" t="s">
        <v>41</v>
      </c>
      <c r="B5" s="61" t="s">
        <v>30</v>
      </c>
      <c r="C5" s="61" t="s">
        <v>3</v>
      </c>
      <c r="D5" s="61" t="s">
        <v>2</v>
      </c>
    </row>
    <row r="6" spans="1:4" ht="30" customHeight="1">
      <c r="A6" s="54" t="s">
        <v>42</v>
      </c>
      <c r="B6" s="51" t="s">
        <v>4</v>
      </c>
      <c r="C6" s="52">
        <v>1230</v>
      </c>
      <c r="D6" s="53">
        <v>13489</v>
      </c>
    </row>
    <row r="7" spans="1:4" ht="30" customHeight="1">
      <c r="A7" s="62"/>
      <c r="B7" s="55" t="s">
        <v>12</v>
      </c>
      <c r="C7" s="56">
        <v>860</v>
      </c>
      <c r="D7" s="53">
        <v>9431</v>
      </c>
    </row>
    <row r="8" spans="1:4" ht="30" customHeight="1">
      <c r="A8" s="57"/>
      <c r="B8" s="55" t="s">
        <v>35</v>
      </c>
      <c r="C8" s="56">
        <v>700</v>
      </c>
      <c r="D8" s="58">
        <v>700</v>
      </c>
    </row>
    <row r="9" spans="1:4" ht="30" customHeight="1">
      <c r="A9" s="57"/>
      <c r="B9" s="55" t="s">
        <v>9</v>
      </c>
      <c r="C9" s="56">
        <v>660</v>
      </c>
      <c r="D9" s="53">
        <v>7238</v>
      </c>
    </row>
    <row r="10" spans="1:4" ht="30" customHeight="1">
      <c r="A10" s="57"/>
      <c r="B10" s="55" t="s">
        <v>98</v>
      </c>
      <c r="C10" s="56">
        <v>180</v>
      </c>
      <c r="D10" s="53">
        <v>1974</v>
      </c>
    </row>
    <row r="11" spans="1:4" ht="39.950000000000003" customHeight="1">
      <c r="A11" s="59"/>
      <c r="B11" s="135" t="s">
        <v>137</v>
      </c>
      <c r="C11" s="136"/>
      <c r="D11" s="60">
        <f>SUM(D6:D10)</f>
        <v>32832</v>
      </c>
    </row>
    <row r="32" spans="1:4" ht="31.5">
      <c r="A32" s="105" t="s">
        <v>56</v>
      </c>
      <c r="B32" s="105"/>
      <c r="C32" s="105"/>
      <c r="D32" s="105"/>
    </row>
    <row r="33" spans="1:4" ht="15" customHeight="1">
      <c r="A33" s="63"/>
      <c r="B33" s="63"/>
      <c r="C33" s="63"/>
      <c r="D33" s="63"/>
    </row>
    <row r="34" spans="1:4" ht="20.25">
      <c r="A34" s="137" t="s">
        <v>138</v>
      </c>
      <c r="B34" s="137"/>
      <c r="C34" s="137"/>
      <c r="D34" s="137"/>
    </row>
  </sheetData>
  <mergeCells count="5">
    <mergeCell ref="A2:D2"/>
    <mergeCell ref="A4:D4"/>
    <mergeCell ref="B11:C11"/>
    <mergeCell ref="A34:D34"/>
    <mergeCell ref="A32:D3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4BDFD-29F6-4336-AB5A-4433B5C05A70}">
  <dimension ref="A2:F9"/>
  <sheetViews>
    <sheetView workbookViewId="0">
      <selection activeCell="X18" sqref="X18"/>
    </sheetView>
  </sheetViews>
  <sheetFormatPr defaultRowHeight="13.5"/>
  <cols>
    <col min="1" max="1" width="11.44140625" bestFit="1" customWidth="1"/>
    <col min="2" max="2" width="16" bestFit="1" customWidth="1"/>
  </cols>
  <sheetData>
    <row r="2" spans="1:6">
      <c r="A2" s="64">
        <v>44063</v>
      </c>
      <c r="B2" t="s">
        <v>139</v>
      </c>
      <c r="E2" t="s">
        <v>140</v>
      </c>
      <c r="F2" s="65" t="s">
        <v>141</v>
      </c>
    </row>
    <row r="9" spans="1:6">
      <c r="A9" t="s">
        <v>161</v>
      </c>
    </row>
  </sheetData>
  <phoneticPr fontId="2" type="noConversion"/>
  <hyperlinks>
    <hyperlink ref="F2" r:id="rId1" xr:uid="{54A76FC5-99FF-4D57-A0E7-CF56BF2D616A}"/>
  </hyperlinks>
  <pageMargins left="0.7" right="0.7" top="0.75" bottom="0.75" header="0.3" footer="0.3"/>
  <pageSetup paperSize="9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 지정된 범위</vt:lpstr>
      </vt:variant>
      <vt:variant>
        <vt:i4>14</vt:i4>
      </vt:variant>
    </vt:vector>
  </HeadingPairs>
  <TitlesOfParts>
    <vt:vector size="31" baseType="lpstr">
      <vt:lpstr>01월 관리비</vt:lpstr>
      <vt:lpstr>02월 관리비</vt:lpstr>
      <vt:lpstr>03월 관리비</vt:lpstr>
      <vt:lpstr>04월 관리비</vt:lpstr>
      <vt:lpstr>05월 관리비</vt:lpstr>
      <vt:lpstr>06월 관리비</vt:lpstr>
      <vt:lpstr>07월 관리비</vt:lpstr>
      <vt:lpstr>08월 관리비</vt:lpstr>
      <vt:lpstr>09월 관리비</vt:lpstr>
      <vt:lpstr>10월 관리비</vt:lpstr>
      <vt:lpstr>11월 관리비</vt:lpstr>
      <vt:lpstr>12월 관리비</vt:lpstr>
      <vt:lpstr>건물 수선비</vt:lpstr>
      <vt:lpstr>기초자료</vt:lpstr>
      <vt:lpstr>관리비 세금계산서</vt:lpstr>
      <vt:lpstr>중간정산</vt:lpstr>
      <vt:lpstr>지출낵역</vt:lpstr>
      <vt:lpstr>'01월 관리비'!Print_Area</vt:lpstr>
      <vt:lpstr>'02월 관리비'!Print_Area</vt:lpstr>
      <vt:lpstr>'03월 관리비'!Print_Area</vt:lpstr>
      <vt:lpstr>'04월 관리비'!Print_Area</vt:lpstr>
      <vt:lpstr>'05월 관리비'!Print_Area</vt:lpstr>
      <vt:lpstr>'06월 관리비'!Print_Area</vt:lpstr>
      <vt:lpstr>'07월 관리비'!Print_Area</vt:lpstr>
      <vt:lpstr>'08월 관리비'!Print_Area</vt:lpstr>
      <vt:lpstr>'09월 관리비'!Print_Area</vt:lpstr>
      <vt:lpstr>'10월 관리비'!Print_Area</vt:lpstr>
      <vt:lpstr>'11월 관리비'!Print_Area</vt:lpstr>
      <vt:lpstr>'12월 관리비'!Print_Area</vt:lpstr>
      <vt:lpstr>'건물 수선비'!Print_Area</vt:lpstr>
      <vt:lpstr>'관리비 세금계산서'!Print_Area</vt:lpstr>
    </vt:vector>
  </TitlesOfParts>
  <Company>IMAGE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박경희</dc:creator>
  <cp:lastModifiedBy>Administrator</cp:lastModifiedBy>
  <cp:lastPrinted>2025-08-25T01:24:48Z</cp:lastPrinted>
  <dcterms:created xsi:type="dcterms:W3CDTF">2010-12-01T04:16:03Z</dcterms:created>
  <dcterms:modified xsi:type="dcterms:W3CDTF">2025-09-10T04:28:45Z</dcterms:modified>
</cp:coreProperties>
</file>